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2315" windowHeight="8520" tabRatio="0"/>
  </bookViews>
  <sheets>
    <sheet name="TDSheet" sheetId="1" r:id="rId1"/>
  </sheets>
  <definedNames>
    <definedName name="_xlnm.Print_Area" localSheetId="0">TDSheet!$A$1:$T$35</definedName>
  </definedNames>
  <calcPr calcId="144525"/>
</workbook>
</file>

<file path=xl/calcChain.xml><?xml version="1.0" encoding="utf-8"?>
<calcChain xmlns="http://schemas.openxmlformats.org/spreadsheetml/2006/main">
  <c r="I29" i="1" l="1"/>
  <c r="I30" i="1" s="1"/>
  <c r="I31" i="1" s="1"/>
  <c r="E30" i="1"/>
  <c r="T16" i="1"/>
  <c r="S16" i="1"/>
  <c r="R16" i="1"/>
  <c r="Q16" i="1"/>
  <c r="P16" i="1"/>
  <c r="O16" i="1"/>
  <c r="N16" i="1"/>
  <c r="M16" i="1"/>
  <c r="L16" i="1"/>
  <c r="K16" i="1"/>
  <c r="J16" i="1"/>
  <c r="H16" i="1"/>
  <c r="G16" i="1"/>
  <c r="F16" i="1"/>
  <c r="R30" i="1"/>
  <c r="R31" i="1" s="1"/>
  <c r="M30" i="1"/>
  <c r="M31" i="1" s="1"/>
  <c r="D30" i="1"/>
  <c r="T30" i="1"/>
  <c r="T31" i="1" s="1"/>
  <c r="S30" i="1"/>
  <c r="Q30" i="1"/>
  <c r="Q31" i="1" s="1"/>
  <c r="P30" i="1"/>
  <c r="P31" i="1" s="1"/>
  <c r="O30" i="1"/>
  <c r="O31" i="1" s="1"/>
  <c r="N30" i="1"/>
  <c r="N31" i="1"/>
  <c r="L30" i="1"/>
  <c r="L31" i="1" s="1"/>
  <c r="K30" i="1"/>
  <c r="K31" i="1"/>
  <c r="J30" i="1"/>
  <c r="J31" i="1" s="1"/>
  <c r="H30" i="1"/>
  <c r="H31" i="1" s="1"/>
  <c r="F30" i="1"/>
  <c r="F31" i="1" s="1"/>
  <c r="E24" i="1"/>
  <c r="E26" i="1"/>
  <c r="D24" i="1"/>
  <c r="T22" i="1"/>
  <c r="R22" i="1"/>
  <c r="Q22" i="1"/>
  <c r="P22" i="1"/>
  <c r="O22" i="1"/>
  <c r="N22" i="1"/>
  <c r="L22" i="1"/>
  <c r="K22" i="1"/>
  <c r="J22" i="1"/>
  <c r="H22" i="1"/>
  <c r="G22" i="1"/>
  <c r="F22" i="1"/>
  <c r="T21" i="1"/>
  <c r="S21" i="1"/>
  <c r="R21" i="1"/>
  <c r="Q21" i="1"/>
  <c r="P21" i="1"/>
  <c r="O21" i="1"/>
  <c r="N21" i="1"/>
  <c r="K21" i="1"/>
  <c r="J21" i="1"/>
  <c r="H21" i="1"/>
  <c r="G21" i="1"/>
  <c r="F21" i="1"/>
  <c r="T19" i="1"/>
  <c r="S19" i="1"/>
  <c r="R19" i="1"/>
  <c r="Q19" i="1"/>
  <c r="P19" i="1"/>
  <c r="O19" i="1"/>
  <c r="N19" i="1"/>
  <c r="M19" i="1"/>
  <c r="L19" i="1"/>
  <c r="K19" i="1"/>
  <c r="J19" i="1"/>
  <c r="H19" i="1"/>
  <c r="G19" i="1"/>
  <c r="F19" i="1"/>
  <c r="T18" i="1"/>
  <c r="S18" i="1"/>
  <c r="P18" i="1"/>
  <c r="O18" i="1"/>
  <c r="M18" i="1"/>
  <c r="L18" i="1"/>
  <c r="K18" i="1"/>
  <c r="J18" i="1"/>
  <c r="H18" i="1"/>
  <c r="I18" i="1" s="1"/>
  <c r="G18" i="1"/>
  <c r="F18" i="1"/>
  <c r="M12" i="1"/>
  <c r="M13" i="1" s="1"/>
  <c r="E12" i="1"/>
  <c r="E14" i="1" s="1"/>
  <c r="D12" i="1"/>
  <c r="T11" i="1"/>
  <c r="T12" i="1" s="1"/>
  <c r="R11" i="1"/>
  <c r="R12" i="1" s="1"/>
  <c r="R13" i="1" s="1"/>
  <c r="Q11" i="1"/>
  <c r="Q12" i="1" s="1"/>
  <c r="Q13" i="1" s="1"/>
  <c r="P11" i="1"/>
  <c r="P12" i="1"/>
  <c r="O11" i="1"/>
  <c r="O12" i="1" s="1"/>
  <c r="N11" i="1"/>
  <c r="N12" i="1" s="1"/>
  <c r="N13" i="1" s="1"/>
  <c r="L11" i="1"/>
  <c r="L12" i="1" s="1"/>
  <c r="L13" i="1" s="1"/>
  <c r="K11" i="1"/>
  <c r="K12" i="1" s="1"/>
  <c r="J11" i="1"/>
  <c r="J12" i="1" s="1"/>
  <c r="J13" i="1" s="1"/>
  <c r="H11" i="1"/>
  <c r="G11" i="1"/>
  <c r="F11" i="1"/>
  <c r="I10" i="1"/>
  <c r="S12" i="1"/>
  <c r="S13" i="1"/>
  <c r="H8" i="1"/>
  <c r="G8" i="1"/>
  <c r="F8" i="1"/>
  <c r="S31" i="1"/>
  <c r="R24" i="1"/>
  <c r="R25" i="1" s="1"/>
  <c r="G30" i="1"/>
  <c r="G31" i="1" s="1"/>
  <c r="I22" i="1"/>
  <c r="J24" i="1"/>
  <c r="N24" i="1"/>
  <c r="N25" i="1" s="1"/>
  <c r="T24" i="1"/>
  <c r="T25" i="1" s="1"/>
  <c r="I11" i="1"/>
  <c r="K13" i="1"/>
  <c r="I19" i="1"/>
  <c r="H24" i="1"/>
  <c r="P24" i="1"/>
  <c r="P25" i="1" s="1"/>
  <c r="P32" i="1"/>
  <c r="P34" i="1" s="1"/>
  <c r="P13" i="1"/>
  <c r="H12" i="1"/>
  <c r="H13" i="1" s="1"/>
  <c r="M24" i="1"/>
  <c r="M25" i="1" s="1"/>
  <c r="G24" i="1"/>
  <c r="G25" i="1" s="1"/>
  <c r="L24" i="1"/>
  <c r="L25" i="1" s="1"/>
  <c r="O24" i="1"/>
  <c r="O25" i="1" s="1"/>
  <c r="S24" i="1"/>
  <c r="S32" i="1" s="1"/>
  <c r="S34" i="1" s="1"/>
  <c r="I16" i="1"/>
  <c r="S25" i="1" l="1"/>
  <c r="F12" i="1"/>
  <c r="F13" i="1" s="1"/>
  <c r="N32" i="1"/>
  <c r="N34" i="1" s="1"/>
  <c r="M32" i="1"/>
  <c r="M34" i="1" s="1"/>
  <c r="R32" i="1"/>
  <c r="R34" i="1" s="1"/>
  <c r="O13" i="1"/>
  <c r="O32" i="1"/>
  <c r="O34" i="1" s="1"/>
  <c r="T13" i="1"/>
  <c r="T32" i="1"/>
  <c r="T34" i="1" s="1"/>
  <c r="I21" i="1"/>
  <c r="I24" i="1" s="1"/>
  <c r="I25" i="1" s="1"/>
  <c r="Q24" i="1"/>
  <c r="F24" i="1"/>
  <c r="K24" i="1"/>
  <c r="K32" i="1" s="1"/>
  <c r="K34" i="1" s="1"/>
  <c r="H25" i="1"/>
  <c r="H32" i="1"/>
  <c r="H34" i="1" s="1"/>
  <c r="G12" i="1"/>
  <c r="I8" i="1"/>
  <c r="I12" i="1" s="1"/>
  <c r="J25" i="1"/>
  <c r="J32" i="1"/>
  <c r="J34" i="1" s="1"/>
  <c r="L32" i="1"/>
  <c r="L34" i="1" s="1"/>
  <c r="K25" i="1" l="1"/>
  <c r="F25" i="1"/>
  <c r="F32" i="1"/>
  <c r="F34" i="1" s="1"/>
  <c r="Q25" i="1"/>
  <c r="Q32" i="1"/>
  <c r="Q34" i="1" s="1"/>
  <c r="I13" i="1"/>
  <c r="I32" i="1"/>
  <c r="I34" i="1" s="1"/>
  <c r="G32" i="1"/>
  <c r="G34" i="1" s="1"/>
  <c r="G13" i="1"/>
</calcChain>
</file>

<file path=xl/sharedStrings.xml><?xml version="1.0" encoding="utf-8"?>
<sst xmlns="http://schemas.openxmlformats.org/spreadsheetml/2006/main" count="60" uniqueCount="53">
  <si>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</si>
  <si>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</si>
  <si>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</si>
  <si>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</si>
  <si>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</si>
  <si>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</si>
  <si>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</si>
  <si>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</si>
  <si>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</si>
  <si>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</si>
  <si>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</si>
  <si>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</si>
  <si>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</si>
  <si>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</si>
  <si>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</si>
  <si>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</si>
  <si>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</si>
  <si>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</si>
  <si>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</si>
  <si>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</si>
  <si>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</si>
  <si>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мясной</t>
  </si>
  <si>
    <t>Итого за Завтрак мясной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</si>
  <si>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</si>
  <si>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</si>
  <si>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</si>
  <si>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</si>
  <si>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</si>
  <si>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</si>
  <si>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</si>
  <si>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Хлеб ржано-пшеничный</t>
  </si>
  <si>
    <t xml:space="preserve">Картофельное пюре с маслом сливочным </t>
  </si>
  <si>
    <t>Плов  с  птицей</t>
  </si>
  <si>
    <t>Кофейный напиток на молоке</t>
  </si>
  <si>
    <t>Хлеб пшеничный</t>
  </si>
  <si>
    <t>Рацион: Школа</t>
  </si>
  <si>
    <t>7-11 лет</t>
  </si>
  <si>
    <t>В2</t>
  </si>
  <si>
    <t>ZN</t>
  </si>
  <si>
    <t>I</t>
  </si>
  <si>
    <t>Итого в день</t>
  </si>
  <si>
    <t>% от суточной нормы</t>
  </si>
  <si>
    <t>суточная норма</t>
  </si>
  <si>
    <t xml:space="preserve">Холодная закуска: Овощи порционно / Огурец </t>
  </si>
  <si>
    <t>ПР</t>
  </si>
  <si>
    <t>*Итого за Завтрак (осенний период)</t>
  </si>
  <si>
    <t>Салат из белокачанной капусты с морковью</t>
  </si>
  <si>
    <t>Суп картофельный с макаронными изделиями на м/б</t>
  </si>
  <si>
    <t xml:space="preserve">Компот из смеси сухофруктов     </t>
  </si>
  <si>
    <t>Лимонный напиток</t>
  </si>
  <si>
    <t>Кондитерское изделие</t>
  </si>
  <si>
    <t>Пирожок с повидлом</t>
  </si>
  <si>
    <t xml:space="preserve">Рыба, запеченная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</si>
</sst>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0.0"/>
    <numFmt numFmtId="184" formatCode="0.000"/>
    <numFmt numFmtId="193" formatCode="0.0%"/>
  </numFmts>
  <fonts count="8" x14ac:knownFonts="1"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36">
    <xf numFmtId="0" fontId="0" fillId="0" borderId="0" xfId="0"/>
    <xf numFmtId="0" fontId="3" fillId="0" borderId="0" xfId="0" applyFont="1"/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" fontId="3" fillId="4" borderId="0" xfId="0" applyNumberFormat="1" applyFont="1" applyFill="1" applyAlignment="1">
      <alignment horizontal="left"/>
    </xf>
    <xf numFmtId="10" fontId="3" fillId="0" borderId="0" xfId="0" applyNumberFormat="1" applyFont="1"/>
    <xf numFmtId="0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indent="1"/>
    </xf>
    <xf numFmtId="0" fontId="2" fillId="4" borderId="1" xfId="0" applyNumberFormat="1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3" fillId="4" borderId="2" xfId="0" applyFont="1" applyFill="1" applyBorder="1"/>
    <xf numFmtId="0" fontId="3" fillId="4" borderId="2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 indent="1"/>
    </xf>
    <xf numFmtId="0" fontId="2" fillId="4" borderId="2" xfId="0" applyNumberFormat="1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3" fillId="4" borderId="1" xfId="0" applyNumberFormat="1" applyFont="1" applyFill="1" applyBorder="1" applyAlignment="1">
      <alignment horizontal="center" vertical="top"/>
    </xf>
    <xf numFmtId="0" fontId="3" fillId="4" borderId="2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 wrapText="1"/>
    </xf>
    <xf numFmtId="2" fontId="3" fillId="4" borderId="2" xfId="0" applyNumberFormat="1" applyFont="1" applyFill="1" applyBorder="1" applyAlignment="1">
      <alignment horizontal="center" vertical="top" wrapText="1"/>
    </xf>
    <xf numFmtId="2" fontId="3" fillId="4" borderId="0" xfId="0" applyNumberFormat="1" applyFont="1" applyFill="1"/>
    <xf numFmtId="1" fontId="3" fillId="4" borderId="3" xfId="0" applyNumberFormat="1" applyFont="1" applyFill="1" applyBorder="1" applyAlignment="1">
      <alignment horizontal="center"/>
    </xf>
    <xf numFmtId="182" fontId="2" fillId="4" borderId="3" xfId="0" applyNumberFormat="1" applyFont="1" applyFill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84" fontId="2" fillId="4" borderId="3" xfId="0" applyNumberFormat="1" applyFont="1" applyFill="1" applyBorder="1" applyAlignment="1">
      <alignment horizontal="center" vertical="top"/>
    </xf>
    <xf numFmtId="193" fontId="2" fillId="4" borderId="3" xfId="0" applyNumberFormat="1" applyFont="1" applyFill="1" applyBorder="1" applyAlignment="1">
      <alignment horizontal="center" vertical="top"/>
    </xf>
    <xf numFmtId="9" fontId="2" fillId="4" borderId="3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193" fontId="2" fillId="4" borderId="1" xfId="0" applyNumberFormat="1" applyFont="1" applyFill="1" applyBorder="1" applyAlignment="1">
      <alignment horizontal="center" vertical="top"/>
    </xf>
    <xf numFmtId="193" fontId="2" fillId="4" borderId="2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182" fontId="2" fillId="4" borderId="4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/>
    <xf numFmtId="0" fontId="2" fillId="4" borderId="5" xfId="0" applyFont="1" applyFill="1" applyBorder="1" applyAlignment="1"/>
    <xf numFmtId="0" fontId="2" fillId="4" borderId="6" xfId="0" applyFont="1" applyFill="1" applyBorder="1" applyAlignment="1"/>
    <xf numFmtId="1" fontId="2" fillId="4" borderId="3" xfId="0" applyNumberFormat="1" applyFont="1" applyFill="1" applyBorder="1" applyAlignment="1"/>
    <xf numFmtId="1" fontId="3" fillId="4" borderId="3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10" fontId="2" fillId="4" borderId="3" xfId="0" applyNumberFormat="1" applyFont="1" applyFill="1" applyBorder="1" applyAlignment="1">
      <alignment horizontal="center" vertical="top"/>
    </xf>
    <xf numFmtId="2" fontId="3" fillId="4" borderId="3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top" wrapText="1"/>
    </xf>
    <xf numFmtId="184" fontId="3" fillId="4" borderId="3" xfId="0" applyNumberFormat="1" applyFont="1" applyFill="1" applyBorder="1" applyAlignment="1">
      <alignment horizontal="center" vertical="top" wrapText="1"/>
    </xf>
    <xf numFmtId="1" fontId="3" fillId="4" borderId="3" xfId="0" applyNumberFormat="1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0" borderId="0" xfId="0" applyFont="1"/>
    <xf numFmtId="0" fontId="6" fillId="4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2" fontId="3" fillId="4" borderId="3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/>
    </xf>
    <xf numFmtId="2" fontId="6" fillId="4" borderId="0" xfId="0" applyNumberFormat="1" applyFont="1" applyFill="1" applyAlignment="1">
      <alignment vertical="center"/>
    </xf>
    <xf numFmtId="2" fontId="0" fillId="4" borderId="0" xfId="0" applyNumberFormat="1" applyFill="1" applyAlignment="1">
      <alignment horizontal="left"/>
    </xf>
    <xf numFmtId="193" fontId="2" fillId="4" borderId="3" xfId="7" applyNumberFormat="1" applyFont="1" applyFill="1" applyBorder="1"/>
    <xf numFmtId="2" fontId="2" fillId="4" borderId="3" xfId="7" applyNumberFormat="1" applyFont="1" applyFill="1" applyBorder="1"/>
    <xf numFmtId="193" fontId="2" fillId="4" borderId="4" xfId="7" applyNumberFormat="1" applyFont="1" applyFill="1" applyBorder="1"/>
    <xf numFmtId="193" fontId="2" fillId="4" borderId="0" xfId="7" applyNumberFormat="1" applyFont="1" applyFill="1"/>
    <xf numFmtId="0" fontId="2" fillId="4" borderId="0" xfId="0" applyFont="1" applyFill="1" applyBorder="1" applyAlignment="1">
      <alignment horizontal="left"/>
    </xf>
    <xf numFmtId="2" fontId="3" fillId="3" borderId="9" xfId="1" applyNumberFormat="1" applyFont="1" applyFill="1" applyBorder="1" applyAlignment="1">
      <alignment horizontal="center" vertical="top"/>
    </xf>
    <xf numFmtId="0" fontId="0" fillId="3" borderId="0" xfId="0" applyFont="1" applyFill="1"/>
    <xf numFmtId="2" fontId="0" fillId="5" borderId="9" xfId="0" applyNumberFormat="1" applyFont="1" applyFill="1" applyBorder="1" applyAlignment="1">
      <alignment horizontal="center" vertical="top"/>
    </xf>
    <xf numFmtId="1" fontId="0" fillId="3" borderId="9" xfId="0" applyNumberFormat="1" applyFont="1" applyFill="1" applyBorder="1" applyAlignment="1">
      <alignment horizontal="center" vertical="top"/>
    </xf>
    <xf numFmtId="1" fontId="3" fillId="3" borderId="9" xfId="1" applyNumberFormat="1" applyFont="1" applyFill="1" applyBorder="1" applyAlignment="1">
      <alignment horizontal="center" vertical="center"/>
    </xf>
    <xf numFmtId="0" fontId="3" fillId="3" borderId="9" xfId="1" applyNumberFormat="1" applyFont="1" applyFill="1" applyBorder="1" applyAlignment="1">
      <alignment horizontal="center" vertical="top"/>
    </xf>
    <xf numFmtId="1" fontId="0" fillId="3" borderId="9" xfId="0" applyNumberFormat="1" applyFont="1" applyFill="1" applyBorder="1" applyAlignment="1">
      <alignment horizontal="center" vertical="center"/>
    </xf>
    <xf numFmtId="1" fontId="3" fillId="3" borderId="9" xfId="1" applyNumberFormat="1" applyFont="1" applyFill="1" applyBorder="1" applyAlignment="1">
      <alignment horizontal="center" vertical="top"/>
    </xf>
    <xf numFmtId="0" fontId="3" fillId="4" borderId="0" xfId="0" applyFont="1" applyFill="1"/>
    <xf numFmtId="2" fontId="2" fillId="4" borderId="2" xfId="0" applyNumberFormat="1" applyFont="1" applyFill="1" applyBorder="1" applyAlignment="1">
      <alignment horizontal="center" vertical="top"/>
    </xf>
    <xf numFmtId="182" fontId="2" fillId="4" borderId="2" xfId="0" applyNumberFormat="1" applyFont="1" applyFill="1" applyBorder="1" applyAlignment="1">
      <alignment horizontal="center" vertical="top"/>
    </xf>
    <xf numFmtId="182" fontId="2" fillId="4" borderId="1" xfId="0" applyNumberFormat="1" applyFont="1" applyFill="1" applyBorder="1" applyAlignment="1">
      <alignment horizontal="center" vertical="top"/>
    </xf>
    <xf numFmtId="0" fontId="3" fillId="4" borderId="3" xfId="0" applyNumberFormat="1" applyFont="1" applyFill="1" applyBorder="1" applyAlignment="1">
      <alignment horizontal="center" vertical="top"/>
    </xf>
    <xf numFmtId="182" fontId="3" fillId="4" borderId="3" xfId="0" applyNumberFormat="1" applyFont="1" applyFill="1" applyBorder="1" applyAlignment="1">
      <alignment horizontal="center" vertical="top"/>
    </xf>
    <xf numFmtId="1" fontId="3" fillId="4" borderId="3" xfId="0" applyNumberFormat="1" applyFont="1" applyFill="1" applyBorder="1" applyAlignment="1">
      <alignment horizontal="center" vertical="top"/>
    </xf>
    <xf numFmtId="2" fontId="3" fillId="4" borderId="3" xfId="0" applyNumberFormat="1" applyFont="1" applyFill="1" applyBorder="1" applyAlignment="1">
      <alignment horizontal="center" vertical="top"/>
    </xf>
    <xf numFmtId="184" fontId="3" fillId="4" borderId="3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2" fontId="3" fillId="4" borderId="2" xfId="0" applyNumberFormat="1" applyFont="1" applyFill="1" applyBorder="1" applyAlignment="1">
      <alignment horizontal="center" vertical="top"/>
    </xf>
    <xf numFmtId="0" fontId="3" fillId="4" borderId="3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/>
    <xf numFmtId="10" fontId="2" fillId="4" borderId="0" xfId="7" applyNumberFormat="1" applyFont="1" applyFill="1"/>
    <xf numFmtId="0" fontId="2" fillId="6" borderId="6" xfId="0" applyFont="1" applyFill="1" applyBorder="1" applyAlignment="1">
      <alignment horizontal="left"/>
    </xf>
    <xf numFmtId="193" fontId="2" fillId="4" borderId="6" xfId="7" applyNumberFormat="1" applyFont="1" applyFill="1" applyBorder="1"/>
    <xf numFmtId="193" fontId="2" fillId="4" borderId="7" xfId="7" applyNumberFormat="1" applyFont="1" applyFill="1" applyBorder="1"/>
    <xf numFmtId="2" fontId="2" fillId="6" borderId="0" xfId="0" applyNumberFormat="1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top" wrapText="1"/>
    </xf>
    <xf numFmtId="10" fontId="2" fillId="4" borderId="7" xfId="0" applyNumberFormat="1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/>
    </xf>
    <xf numFmtId="2" fontId="3" fillId="2" borderId="3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182" fontId="3" fillId="2" borderId="3" xfId="1" applyNumberFormat="1" applyFont="1" applyFill="1" applyBorder="1" applyAlignment="1">
      <alignment horizontal="center" vertical="center"/>
    </xf>
    <xf numFmtId="184" fontId="3" fillId="2" borderId="3" xfId="1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82" fontId="0" fillId="3" borderId="9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left" vertical="center" wrapText="1"/>
    </xf>
    <xf numFmtId="0" fontId="3" fillId="4" borderId="7" xfId="0" applyNumberFormat="1" applyFont="1" applyFill="1" applyBorder="1" applyAlignment="1">
      <alignment horizontal="left" vertical="center" wrapText="1"/>
    </xf>
    <xf numFmtId="10" fontId="2" fillId="4" borderId="5" xfId="0" applyNumberFormat="1" applyFont="1" applyFill="1" applyBorder="1" applyAlignment="1">
      <alignment horizontal="left"/>
    </xf>
    <xf numFmtId="10" fontId="2" fillId="4" borderId="6" xfId="0" applyNumberFormat="1" applyFont="1" applyFill="1" applyBorder="1" applyAlignment="1">
      <alignment horizontal="left"/>
    </xf>
    <xf numFmtId="10" fontId="2" fillId="4" borderId="7" xfId="0" applyNumberFormat="1" applyFont="1" applyFill="1" applyBorder="1" applyAlignment="1">
      <alignment horizontal="left"/>
    </xf>
    <xf numFmtId="0" fontId="2" fillId="4" borderId="5" xfId="0" applyFont="1" applyFill="1" applyBorder="1" applyAlignment="1">
      <alignment horizontal="left" indent="1"/>
    </xf>
    <xf numFmtId="0" fontId="2" fillId="4" borderId="6" xfId="0" applyFont="1" applyFill="1" applyBorder="1" applyAlignment="1">
      <alignment horizontal="left" indent="1"/>
    </xf>
    <xf numFmtId="0" fontId="2" fillId="4" borderId="7" xfId="0" applyFont="1" applyFill="1" applyBorder="1" applyAlignment="1">
      <alignment horizontal="left" indent="1"/>
    </xf>
    <xf numFmtId="0" fontId="2" fillId="4" borderId="10" xfId="0" applyNumberFormat="1" applyFont="1" applyFill="1" applyBorder="1" applyAlignment="1">
      <alignment horizontal="right"/>
    </xf>
    <xf numFmtId="0" fontId="3" fillId="4" borderId="10" xfId="0" applyNumberFormat="1" applyFont="1" applyFill="1" applyBorder="1" applyAlignment="1">
      <alignment horizontal="center"/>
    </xf>
    <xf numFmtId="0" fontId="3" fillId="4" borderId="0" xfId="0" applyNumberFormat="1" applyFont="1" applyFill="1" applyAlignment="1">
      <alignment horizontal="center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Alignment="1">
      <alignment horizontal="right"/>
    </xf>
    <xf numFmtId="0" fontId="3" fillId="2" borderId="7" xfId="1" applyNumberFormat="1" applyFont="1" applyFill="1" applyBorder="1" applyAlignment="1">
      <alignment horizontal="left" vertical="center" wrapText="1"/>
    </xf>
    <xf numFmtId="0" fontId="3" fillId="4" borderId="3" xfId="0" applyNumberFormat="1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0" xfId="0" applyNumberFormat="1" applyFont="1" applyFill="1" applyAlignment="1">
      <alignment horizontal="left"/>
    </xf>
    <xf numFmtId="0" fontId="0" fillId="3" borderId="9" xfId="0" applyNumberFormat="1" applyFont="1" applyFill="1" applyBorder="1" applyAlignment="1">
      <alignment horizontal="left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left" vertical="center" wrapText="1"/>
    </xf>
    <xf numFmtId="0" fontId="3" fillId="3" borderId="9" xfId="1" applyNumberFormat="1" applyFont="1" applyFill="1" applyBorder="1" applyAlignment="1">
      <alignment horizontal="left" vertical="center" wrapText="1"/>
    </xf>
    <xf numFmtId="0" fontId="2" fillId="4" borderId="13" xfId="0" applyNumberFormat="1" applyFont="1" applyFill="1" applyBorder="1" applyAlignment="1">
      <alignment horizontal="left"/>
    </xf>
  </cellXfs>
  <cellStyles count="12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Процентный" xfId="7" builtinId="5"/>
    <cellStyle name="Процентный 2" xfId="8"/>
    <cellStyle name="Процентный 3" xfId="9"/>
    <cellStyle name="Процентный 4" xfId="10"/>
    <cellStyle name="Процентный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36"/>
  <sheetViews>
    <sheetView tabSelected="1" view="pageBreakPreview" zoomScale="80" zoomScaleNormal="80" zoomScaleSheetLayoutView="80" workbookViewId="0">
      <selection activeCell="A36" sqref="A36:IV284"/>
    </sheetView>
  </sheetViews>
  <sheetFormatPr defaultRowHeight="11.25" x14ac:dyDescent="0.2"/>
  <cols>
    <col min="1" max="1" width="9.5" style="36" customWidth="1"/>
    <col min="2" max="2" width="16.33203125" style="36" customWidth="1"/>
    <col min="3" max="3" width="25.1640625" style="36" customWidth="1"/>
    <col min="4" max="4" width="8" style="3" customWidth="1"/>
    <col min="5" max="5" width="9.6640625" style="3" customWidth="1"/>
    <col min="6" max="6" width="9.83203125" style="59" customWidth="1"/>
    <col min="7" max="7" width="9.6640625" style="3" customWidth="1"/>
    <col min="8" max="8" width="8.5" style="3" customWidth="1"/>
    <col min="9" max="9" width="10" style="3" customWidth="1"/>
    <col min="10" max="10" width="9" style="3" customWidth="1"/>
    <col min="11" max="11" width="9.83203125" style="3" customWidth="1"/>
    <col min="12" max="12" width="8.83203125" style="3" customWidth="1"/>
    <col min="13" max="13" width="10.33203125" style="3" customWidth="1"/>
    <col min="14" max="14" width="9.5" style="3" customWidth="1"/>
    <col min="15" max="15" width="9.33203125" style="3" customWidth="1"/>
    <col min="16" max="17" width="9.1640625" style="3" customWidth="1"/>
    <col min="18" max="18" width="9" style="3" customWidth="1"/>
    <col min="19" max="19" width="9.5" style="3" customWidth="1"/>
    <col min="20" max="20" width="8.6640625" style="3" customWidth="1"/>
    <col min="21" max="21" width="9.1640625" style="12" customWidth="1"/>
    <col min="22" max="23" width="9.1640625" style="19" customWidth="1"/>
    <col min="24" max="24" width="11.6640625" style="19" customWidth="1"/>
  </cols>
  <sheetData>
    <row r="1" spans="1:24" s="1" customFormat="1" ht="11.25" customHeight="1" x14ac:dyDescent="0.2">
      <c r="A1" s="129" t="s">
        <v>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9"/>
      <c r="V1" s="18"/>
      <c r="W1" s="18"/>
      <c r="X1" s="18"/>
    </row>
    <row r="2" spans="1:24" s="1" customFormat="1" ht="11.25" customHeight="1" x14ac:dyDescent="0.2">
      <c r="A2" s="37" t="s">
        <v>35</v>
      </c>
      <c r="B2" s="35"/>
      <c r="C2" s="35"/>
      <c r="D2" s="2"/>
      <c r="E2" s="2"/>
      <c r="F2" s="24"/>
      <c r="G2" s="117" t="s">
        <v>28</v>
      </c>
      <c r="H2" s="117"/>
      <c r="I2" s="117"/>
      <c r="J2" s="44"/>
      <c r="K2" s="44"/>
      <c r="L2" s="122" t="s">
        <v>0</v>
      </c>
      <c r="M2" s="122"/>
      <c r="N2" s="125"/>
      <c r="O2" s="125"/>
      <c r="P2" s="125"/>
      <c r="Q2" s="125"/>
      <c r="R2" s="44"/>
      <c r="S2" s="44"/>
      <c r="T2" s="44"/>
      <c r="U2" s="10"/>
      <c r="V2" s="13"/>
      <c r="W2" s="13"/>
      <c r="X2" s="13"/>
    </row>
    <row r="3" spans="1:24" s="1" customFormat="1" ht="11.25" customHeight="1" x14ac:dyDescent="0.2">
      <c r="A3" s="35"/>
      <c r="B3" s="35"/>
      <c r="C3" s="35"/>
      <c r="D3" s="115" t="s">
        <v>1</v>
      </c>
      <c r="E3" s="115"/>
      <c r="F3" s="115"/>
      <c r="G3" s="4">
        <v>1</v>
      </c>
      <c r="H3" s="44"/>
      <c r="I3" s="2"/>
      <c r="J3" s="2"/>
      <c r="K3" s="2"/>
      <c r="L3" s="115" t="s">
        <v>2</v>
      </c>
      <c r="M3" s="115"/>
      <c r="N3" s="116" t="s">
        <v>36</v>
      </c>
      <c r="O3" s="116"/>
      <c r="P3" s="116"/>
      <c r="Q3" s="116"/>
      <c r="R3" s="116"/>
      <c r="S3" s="116"/>
      <c r="T3" s="116"/>
      <c r="U3" s="11"/>
      <c r="V3" s="14"/>
      <c r="W3" s="14"/>
      <c r="X3" s="14"/>
    </row>
    <row r="4" spans="1:24" s="1" customFormat="1" ht="21.75" customHeight="1" x14ac:dyDescent="0.2">
      <c r="A4" s="118" t="s">
        <v>3</v>
      </c>
      <c r="B4" s="118" t="s">
        <v>4</v>
      </c>
      <c r="C4" s="118"/>
      <c r="D4" s="118" t="s">
        <v>5</v>
      </c>
      <c r="E4" s="94"/>
      <c r="F4" s="131" t="s">
        <v>6</v>
      </c>
      <c r="G4" s="131"/>
      <c r="H4" s="131"/>
      <c r="I4" s="118" t="s">
        <v>7</v>
      </c>
      <c r="J4" s="131" t="s">
        <v>8</v>
      </c>
      <c r="K4" s="131"/>
      <c r="L4" s="131"/>
      <c r="M4" s="131"/>
      <c r="N4" s="131"/>
      <c r="O4" s="131" t="s">
        <v>9</v>
      </c>
      <c r="P4" s="131"/>
      <c r="Q4" s="131"/>
      <c r="R4" s="131"/>
      <c r="S4" s="131"/>
      <c r="T4" s="131"/>
      <c r="U4" s="6"/>
      <c r="V4" s="15"/>
      <c r="W4" s="15"/>
      <c r="X4" s="15"/>
    </row>
    <row r="5" spans="1:24" s="1" customFormat="1" ht="21" customHeight="1" x14ac:dyDescent="0.2">
      <c r="A5" s="119"/>
      <c r="B5" s="120"/>
      <c r="C5" s="121"/>
      <c r="D5" s="119"/>
      <c r="E5" s="95"/>
      <c r="F5" s="56" t="s">
        <v>10</v>
      </c>
      <c r="G5" s="96" t="s">
        <v>11</v>
      </c>
      <c r="H5" s="96" t="s">
        <v>12</v>
      </c>
      <c r="I5" s="119"/>
      <c r="J5" s="96" t="s">
        <v>13</v>
      </c>
      <c r="K5" s="96" t="s">
        <v>37</v>
      </c>
      <c r="L5" s="96" t="s">
        <v>14</v>
      </c>
      <c r="M5" s="96" t="s">
        <v>15</v>
      </c>
      <c r="N5" s="96" t="s">
        <v>16</v>
      </c>
      <c r="O5" s="96" t="s">
        <v>17</v>
      </c>
      <c r="P5" s="96" t="s">
        <v>18</v>
      </c>
      <c r="Q5" s="96" t="s">
        <v>38</v>
      </c>
      <c r="R5" s="96" t="s">
        <v>39</v>
      </c>
      <c r="S5" s="96" t="s">
        <v>19</v>
      </c>
      <c r="T5" s="96" t="s">
        <v>20</v>
      </c>
      <c r="U5" s="6"/>
      <c r="V5" s="15"/>
      <c r="W5" s="15"/>
      <c r="X5" s="15"/>
    </row>
    <row r="6" spans="1:24" s="1" customFormat="1" ht="11.25" customHeight="1" x14ac:dyDescent="0.2">
      <c r="A6" s="99">
        <v>1</v>
      </c>
      <c r="B6" s="132">
        <v>2</v>
      </c>
      <c r="C6" s="132"/>
      <c r="D6" s="25">
        <v>3</v>
      </c>
      <c r="E6" s="25"/>
      <c r="F6" s="57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7"/>
      <c r="V6" s="16"/>
      <c r="W6" s="16"/>
      <c r="X6" s="16"/>
    </row>
    <row r="7" spans="1:24" s="1" customFormat="1" ht="11.25" customHeight="1" x14ac:dyDescent="0.2">
      <c r="A7" s="112" t="s">
        <v>21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U7" s="8"/>
      <c r="V7" s="17"/>
      <c r="W7" s="17"/>
      <c r="X7" s="17"/>
    </row>
    <row r="8" spans="1:24" s="73" customFormat="1" ht="20.25" customHeight="1" x14ac:dyDescent="0.2">
      <c r="A8" s="43">
        <v>71</v>
      </c>
      <c r="B8" s="107" t="s">
        <v>43</v>
      </c>
      <c r="C8" s="108"/>
      <c r="D8" s="47">
        <v>40</v>
      </c>
      <c r="E8" s="47">
        <v>9.2200000000000006</v>
      </c>
      <c r="F8" s="97">
        <f>0.5*D8/60</f>
        <v>0.33333333333333331</v>
      </c>
      <c r="G8" s="97">
        <f>0.03*D8/30</f>
        <v>0.04</v>
      </c>
      <c r="H8" s="97">
        <f>1.7*D8/60</f>
        <v>1.1333333333333333</v>
      </c>
      <c r="I8" s="97">
        <f>F8*4+G8*9+H8*4</f>
        <v>6.2266666666666666</v>
      </c>
      <c r="J8" s="48">
        <v>8.9999999999999993E-3</v>
      </c>
      <c r="K8" s="97">
        <v>0.01</v>
      </c>
      <c r="L8" s="49">
        <v>3</v>
      </c>
      <c r="M8" s="48">
        <v>3.0000000000000001E-3</v>
      </c>
      <c r="N8" s="47">
        <v>0.03</v>
      </c>
      <c r="O8" s="97">
        <v>6.9</v>
      </c>
      <c r="P8" s="97">
        <v>12.6</v>
      </c>
      <c r="Q8" s="48">
        <v>6.4000000000000001E-2</v>
      </c>
      <c r="R8" s="48">
        <v>1E-3</v>
      </c>
      <c r="S8" s="97">
        <v>4.2</v>
      </c>
      <c r="T8" s="97">
        <v>0.18</v>
      </c>
      <c r="U8" s="22"/>
      <c r="V8" s="23"/>
      <c r="W8" s="23"/>
      <c r="X8" s="23"/>
    </row>
    <row r="9" spans="1:24" s="73" customFormat="1" ht="11.25" customHeight="1" x14ac:dyDescent="0.2">
      <c r="A9" s="99">
        <v>291</v>
      </c>
      <c r="B9" s="107" t="s">
        <v>32</v>
      </c>
      <c r="C9" s="108"/>
      <c r="D9" s="79">
        <v>240</v>
      </c>
      <c r="E9" s="80">
        <v>45.63</v>
      </c>
      <c r="F9" s="80">
        <v>22.35</v>
      </c>
      <c r="G9" s="80">
        <v>26.13</v>
      </c>
      <c r="H9" s="80">
        <v>47.231999999999999</v>
      </c>
      <c r="I9" s="80">
        <v>513.57000000000005</v>
      </c>
      <c r="J9" s="80">
        <v>0.81</v>
      </c>
      <c r="K9" s="80">
        <v>0.79</v>
      </c>
      <c r="L9" s="80">
        <v>4.29</v>
      </c>
      <c r="M9" s="80">
        <v>0.46</v>
      </c>
      <c r="N9" s="77">
        <v>0</v>
      </c>
      <c r="O9" s="80">
        <v>44.29</v>
      </c>
      <c r="P9" s="80">
        <v>301.64999999999998</v>
      </c>
      <c r="Q9" s="79">
        <v>0</v>
      </c>
      <c r="R9" s="79">
        <v>0</v>
      </c>
      <c r="S9" s="80">
        <v>64.39</v>
      </c>
      <c r="T9" s="80">
        <v>2.77</v>
      </c>
      <c r="U9" s="82"/>
      <c r="V9" s="83"/>
      <c r="W9" s="83"/>
      <c r="X9" s="83"/>
    </row>
    <row r="10" spans="1:24" s="73" customFormat="1" ht="12.75" customHeight="1" x14ac:dyDescent="0.2">
      <c r="A10" s="99">
        <v>379</v>
      </c>
      <c r="B10" s="107" t="s">
        <v>33</v>
      </c>
      <c r="C10" s="108"/>
      <c r="D10" s="79">
        <v>200</v>
      </c>
      <c r="E10" s="80">
        <v>12.05</v>
      </c>
      <c r="F10" s="80">
        <v>3.17</v>
      </c>
      <c r="G10" s="80">
        <v>2.68</v>
      </c>
      <c r="H10" s="80">
        <v>15.95</v>
      </c>
      <c r="I10" s="80">
        <f>F10*4+G10*9+H10*4</f>
        <v>100.6</v>
      </c>
      <c r="J10" s="80">
        <v>0.04</v>
      </c>
      <c r="K10" s="80">
        <v>0.15</v>
      </c>
      <c r="L10" s="80">
        <v>1.3</v>
      </c>
      <c r="M10" s="81">
        <v>0.03</v>
      </c>
      <c r="N10" s="77">
        <v>0.06</v>
      </c>
      <c r="O10" s="80">
        <v>120.4</v>
      </c>
      <c r="P10" s="78">
        <v>90</v>
      </c>
      <c r="Q10" s="80">
        <v>1.1000000000000001</v>
      </c>
      <c r="R10" s="81">
        <v>0.01</v>
      </c>
      <c r="S10" s="80">
        <v>14</v>
      </c>
      <c r="T10" s="80">
        <v>0.12</v>
      </c>
      <c r="U10" s="82"/>
      <c r="V10" s="83"/>
      <c r="W10" s="83"/>
      <c r="X10" s="83"/>
    </row>
    <row r="11" spans="1:24" s="73" customFormat="1" ht="11.25" customHeight="1" x14ac:dyDescent="0.2">
      <c r="A11" s="84" t="s">
        <v>44</v>
      </c>
      <c r="B11" s="107" t="s">
        <v>34</v>
      </c>
      <c r="C11" s="108"/>
      <c r="D11" s="79">
        <v>40</v>
      </c>
      <c r="E11" s="80">
        <v>3.1</v>
      </c>
      <c r="F11" s="80">
        <f>1.52*D11/30</f>
        <v>2.0266666666666664</v>
      </c>
      <c r="G11" s="81">
        <f>0.16*D11/30</f>
        <v>0.21333333333333335</v>
      </c>
      <c r="H11" s="81">
        <f>9.84*D11/30</f>
        <v>13.120000000000001</v>
      </c>
      <c r="I11" s="81">
        <f>F11*4+G11*9+H11*4</f>
        <v>62.506666666666668</v>
      </c>
      <c r="J11" s="81">
        <f>0.02*D11/30</f>
        <v>2.6666666666666668E-2</v>
      </c>
      <c r="K11" s="81">
        <f>0.01*D11/30</f>
        <v>1.3333333333333334E-2</v>
      </c>
      <c r="L11" s="81">
        <f>0.44*D11/30</f>
        <v>0.58666666666666667</v>
      </c>
      <c r="M11" s="81">
        <v>0</v>
      </c>
      <c r="N11" s="81">
        <f>0.7*D11/30</f>
        <v>0.93333333333333335</v>
      </c>
      <c r="O11" s="81">
        <f>4*D11/30</f>
        <v>5.333333333333333</v>
      </c>
      <c r="P11" s="81">
        <f>13*D11/30</f>
        <v>17.333333333333332</v>
      </c>
      <c r="Q11" s="81">
        <f>0.008*D11/30</f>
        <v>1.0666666666666666E-2</v>
      </c>
      <c r="R11" s="81">
        <f>0.001*D11/30</f>
        <v>1.3333333333333333E-3</v>
      </c>
      <c r="S11" s="81">
        <v>0</v>
      </c>
      <c r="T11" s="81">
        <f>0.22*D11/30</f>
        <v>0.29333333333333333</v>
      </c>
      <c r="U11" s="82"/>
      <c r="V11" s="83"/>
      <c r="W11" s="83"/>
      <c r="X11" s="83"/>
    </row>
    <row r="12" spans="1:24" s="73" customFormat="1" ht="12" customHeight="1" x14ac:dyDescent="0.2">
      <c r="A12" s="40" t="s">
        <v>22</v>
      </c>
      <c r="B12" s="41"/>
      <c r="C12" s="41"/>
      <c r="D12" s="39">
        <f t="shared" ref="D12:T12" si="0">SUM(D8:D11)</f>
        <v>520</v>
      </c>
      <c r="E12" s="85">
        <f t="shared" si="0"/>
        <v>70</v>
      </c>
      <c r="F12" s="27">
        <f t="shared" si="0"/>
        <v>27.88</v>
      </c>
      <c r="G12" s="26">
        <f t="shared" si="0"/>
        <v>29.063333333333333</v>
      </c>
      <c r="H12" s="26">
        <f t="shared" si="0"/>
        <v>77.435333333333332</v>
      </c>
      <c r="I12" s="26">
        <f t="shared" si="0"/>
        <v>682.90333333333342</v>
      </c>
      <c r="J12" s="27">
        <f t="shared" si="0"/>
        <v>0.88566666666666671</v>
      </c>
      <c r="K12" s="27">
        <f t="shared" si="0"/>
        <v>0.96333333333333337</v>
      </c>
      <c r="L12" s="27">
        <f t="shared" si="0"/>
        <v>9.1766666666666659</v>
      </c>
      <c r="M12" s="27">
        <f t="shared" si="0"/>
        <v>0.49299999999999999</v>
      </c>
      <c r="N12" s="27">
        <f t="shared" si="0"/>
        <v>1.0233333333333334</v>
      </c>
      <c r="O12" s="27">
        <f t="shared" si="0"/>
        <v>176.92333333333335</v>
      </c>
      <c r="P12" s="27">
        <f t="shared" si="0"/>
        <v>421.58333333333331</v>
      </c>
      <c r="Q12" s="28">
        <f t="shared" si="0"/>
        <v>1.1746666666666667</v>
      </c>
      <c r="R12" s="28">
        <f t="shared" si="0"/>
        <v>1.2333333333333333E-2</v>
      </c>
      <c r="S12" s="26">
        <f t="shared" si="0"/>
        <v>82.59</v>
      </c>
      <c r="T12" s="27">
        <f t="shared" si="0"/>
        <v>3.3633333333333337</v>
      </c>
      <c r="U12" s="26"/>
      <c r="V12" s="75"/>
      <c r="W12" s="75"/>
      <c r="X12" s="75"/>
    </row>
    <row r="13" spans="1:24" s="73" customFormat="1" ht="12" customHeight="1" x14ac:dyDescent="0.2">
      <c r="A13" s="126" t="s">
        <v>41</v>
      </c>
      <c r="B13" s="127"/>
      <c r="C13" s="127"/>
      <c r="D13" s="128"/>
      <c r="E13" s="64"/>
      <c r="F13" s="86">
        <f t="shared" ref="F13:T13" si="1">F12/F33</f>
        <v>0.30977777777777776</v>
      </c>
      <c r="G13" s="62">
        <f t="shared" si="1"/>
        <v>0.31590579710144928</v>
      </c>
      <c r="H13" s="62">
        <f t="shared" si="1"/>
        <v>0.20218102697998258</v>
      </c>
      <c r="I13" s="62">
        <f t="shared" si="1"/>
        <v>0.25106740196078436</v>
      </c>
      <c r="J13" s="62">
        <f t="shared" si="1"/>
        <v>0.63261904761904775</v>
      </c>
      <c r="K13" s="62">
        <f t="shared" si="1"/>
        <v>0.6020833333333333</v>
      </c>
      <c r="L13" s="62">
        <f t="shared" si="1"/>
        <v>0.13109523809523807</v>
      </c>
      <c r="M13" s="62">
        <f t="shared" si="1"/>
        <v>0.54777777777777781</v>
      </c>
      <c r="N13" s="62">
        <f t="shared" si="1"/>
        <v>8.5277777777777786E-2</v>
      </c>
      <c r="O13" s="62">
        <f t="shared" si="1"/>
        <v>0.14743611111111113</v>
      </c>
      <c r="P13" s="62">
        <f t="shared" si="1"/>
        <v>0.35131944444444441</v>
      </c>
      <c r="Q13" s="62">
        <f t="shared" si="1"/>
        <v>8.3904761904761913E-2</v>
      </c>
      <c r="R13" s="62">
        <f t="shared" si="1"/>
        <v>0.12333333333333332</v>
      </c>
      <c r="S13" s="62">
        <f t="shared" si="1"/>
        <v>0.27529999999999999</v>
      </c>
      <c r="T13" s="62">
        <f t="shared" si="1"/>
        <v>0.18685185185185188</v>
      </c>
      <c r="U13" s="76"/>
      <c r="V13" s="75"/>
      <c r="W13" s="75"/>
      <c r="X13" s="75"/>
    </row>
    <row r="14" spans="1:24" s="73" customFormat="1" ht="12" hidden="1" customHeight="1" x14ac:dyDescent="0.2">
      <c r="A14" s="50" t="s">
        <v>45</v>
      </c>
      <c r="B14" s="51"/>
      <c r="C14" s="51"/>
      <c r="D14" s="92"/>
      <c r="E14" s="87">
        <f>70-E12</f>
        <v>0</v>
      </c>
      <c r="F14" s="6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76"/>
      <c r="V14" s="75"/>
      <c r="W14" s="75"/>
      <c r="X14" s="75"/>
    </row>
    <row r="15" spans="1:24" s="73" customFormat="1" ht="10.5" customHeight="1" x14ac:dyDescent="0.2">
      <c r="A15" s="112" t="s">
        <v>23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/>
      <c r="U15" s="8"/>
      <c r="V15" s="17"/>
      <c r="W15" s="17"/>
      <c r="X15" s="17"/>
    </row>
    <row r="16" spans="1:24" s="73" customFormat="1" ht="18.75" customHeight="1" x14ac:dyDescent="0.2">
      <c r="A16" s="105">
        <v>45</v>
      </c>
      <c r="B16" s="124" t="s">
        <v>46</v>
      </c>
      <c r="C16" s="124"/>
      <c r="D16" s="79">
        <v>100</v>
      </c>
      <c r="E16" s="80">
        <v>8.44</v>
      </c>
      <c r="F16" s="80">
        <f>0.9*D16/60</f>
        <v>1.5</v>
      </c>
      <c r="G16" s="80">
        <f>1.31*D16/60</f>
        <v>2.1833333333333331</v>
      </c>
      <c r="H16" s="80">
        <f>5.6*D16/60</f>
        <v>9.3333333333333339</v>
      </c>
      <c r="I16" s="80">
        <f>F16*4+G16*9+H16*4</f>
        <v>62.983333333333334</v>
      </c>
      <c r="J16" s="80">
        <f>0.06*D16/60</f>
        <v>0.1</v>
      </c>
      <c r="K16" s="80">
        <f>0.07*D16/60</f>
        <v>0.11666666666666668</v>
      </c>
      <c r="L16" s="80">
        <f>15.5*D16/60</f>
        <v>25.833333333333332</v>
      </c>
      <c r="M16" s="81">
        <f>0.071*D16/60</f>
        <v>0.11833333333333333</v>
      </c>
      <c r="N16" s="80">
        <f>0.3*D16/60</f>
        <v>0.5</v>
      </c>
      <c r="O16" s="80">
        <f>28.2*D16/60</f>
        <v>47</v>
      </c>
      <c r="P16" s="80">
        <f>18.9*D16/60</f>
        <v>31.499999999999996</v>
      </c>
      <c r="Q16" s="80">
        <f>0.2*D16/60</f>
        <v>0.33333333333333331</v>
      </c>
      <c r="R16" s="81">
        <f>0.001*D16/60</f>
        <v>1.6666666666666668E-3</v>
      </c>
      <c r="S16" s="80">
        <f>10.5*D16/60</f>
        <v>17.5</v>
      </c>
      <c r="T16" s="80">
        <f>0.6*D16/60</f>
        <v>1</v>
      </c>
      <c r="U16" s="82"/>
      <c r="V16" s="83"/>
      <c r="W16" s="83"/>
      <c r="X16" s="83"/>
    </row>
    <row r="17" spans="1:24" s="73" customFormat="1" ht="22.5" customHeight="1" x14ac:dyDescent="0.2">
      <c r="A17" s="69">
        <v>103</v>
      </c>
      <c r="B17" s="134" t="s">
        <v>47</v>
      </c>
      <c r="C17" s="134"/>
      <c r="D17" s="70">
        <v>250</v>
      </c>
      <c r="E17" s="65">
        <v>9.68</v>
      </c>
      <c r="F17" s="65">
        <v>12.37</v>
      </c>
      <c r="G17" s="65">
        <v>11.12</v>
      </c>
      <c r="H17" s="65">
        <v>31.5</v>
      </c>
      <c r="I17" s="65">
        <v>275.62</v>
      </c>
      <c r="J17" s="65">
        <v>0.25</v>
      </c>
      <c r="K17" s="65">
        <v>6.3E-2</v>
      </c>
      <c r="L17" s="65">
        <v>8.25</v>
      </c>
      <c r="M17" s="65">
        <v>0</v>
      </c>
      <c r="N17" s="65">
        <v>0</v>
      </c>
      <c r="O17" s="65">
        <v>49.37</v>
      </c>
      <c r="P17" s="65">
        <v>93.37</v>
      </c>
      <c r="Q17" s="65">
        <v>0</v>
      </c>
      <c r="R17" s="65">
        <v>1E-3</v>
      </c>
      <c r="S17" s="65">
        <v>27.25</v>
      </c>
      <c r="T17" s="65">
        <v>0.37</v>
      </c>
      <c r="U17" s="82"/>
      <c r="V17" s="83"/>
      <c r="W17" s="83"/>
      <c r="X17" s="83"/>
    </row>
    <row r="18" spans="1:24" s="73" customFormat="1" ht="12" customHeight="1" x14ac:dyDescent="0.2">
      <c r="A18" s="84">
        <v>232</v>
      </c>
      <c r="B18" s="107" t="s">
        <v>52</v>
      </c>
      <c r="C18" s="108"/>
      <c r="D18" s="79">
        <v>100</v>
      </c>
      <c r="E18" s="80">
        <v>32.869999999999997</v>
      </c>
      <c r="F18" s="80">
        <f>20.2*D18/100</f>
        <v>20.2</v>
      </c>
      <c r="G18" s="80">
        <f>12.07*D18/100</f>
        <v>12.07</v>
      </c>
      <c r="H18" s="80">
        <f>2.08*D18/100</f>
        <v>2.08</v>
      </c>
      <c r="I18" s="80">
        <f>F18*4+G18*9+H18*4</f>
        <v>197.75</v>
      </c>
      <c r="J18" s="80">
        <f>0.2*D18/100</f>
        <v>0.2</v>
      </c>
      <c r="K18" s="80">
        <f>0.17*D18/100</f>
        <v>0.17</v>
      </c>
      <c r="L18" s="80">
        <f>2.63*D18/100</f>
        <v>2.63</v>
      </c>
      <c r="M18" s="81">
        <f>D18*0.025/80</f>
        <v>3.125E-2</v>
      </c>
      <c r="N18" s="80">
        <v>0.3</v>
      </c>
      <c r="O18" s="80">
        <f>D18*68.89/80</f>
        <v>86.112499999999997</v>
      </c>
      <c r="P18" s="80">
        <f>D18*33.41/80</f>
        <v>41.762499999999996</v>
      </c>
      <c r="Q18" s="78">
        <v>0.8</v>
      </c>
      <c r="R18" s="78">
        <v>0.04</v>
      </c>
      <c r="S18" s="80">
        <f>D18*23.17/80</f>
        <v>28.962499999999999</v>
      </c>
      <c r="T18" s="80">
        <f>D18*0.73/80</f>
        <v>0.91249999999999998</v>
      </c>
      <c r="U18" s="82"/>
      <c r="V18" s="83"/>
      <c r="W18" s="83"/>
      <c r="X18" s="83"/>
    </row>
    <row r="19" spans="1:24" s="73" customFormat="1" ht="12" customHeight="1" x14ac:dyDescent="0.2">
      <c r="A19" s="84">
        <v>312</v>
      </c>
      <c r="B19" s="107" t="s">
        <v>31</v>
      </c>
      <c r="C19" s="108"/>
      <c r="D19" s="79">
        <v>180</v>
      </c>
      <c r="E19" s="80">
        <v>19.11</v>
      </c>
      <c r="F19" s="80">
        <f>D19*3.29/150</f>
        <v>3.9480000000000004</v>
      </c>
      <c r="G19" s="80">
        <f>D19*7.06/150</f>
        <v>8.4719999999999995</v>
      </c>
      <c r="H19" s="80">
        <f>D19*22.21/150</f>
        <v>26.652000000000001</v>
      </c>
      <c r="I19" s="80">
        <f>F19*4+G19*9+H19*4</f>
        <v>198.648</v>
      </c>
      <c r="J19" s="80">
        <f>D19*0.16/150</f>
        <v>0.192</v>
      </c>
      <c r="K19" s="80">
        <f>D19*0.13/150</f>
        <v>0.15600000000000003</v>
      </c>
      <c r="L19" s="80">
        <f>D19*0.73/150</f>
        <v>0.876</v>
      </c>
      <c r="M19" s="81">
        <f>D19*0.08/150</f>
        <v>9.6000000000000002E-2</v>
      </c>
      <c r="N19" s="77">
        <f>1.5*D19/150</f>
        <v>1.8</v>
      </c>
      <c r="O19" s="80">
        <f>D19*42.54/150</f>
        <v>51.048000000000002</v>
      </c>
      <c r="P19" s="78">
        <f>D19*97.75/150</f>
        <v>117.3</v>
      </c>
      <c r="Q19" s="81">
        <f>0.299*D19/150</f>
        <v>0.35880000000000001</v>
      </c>
      <c r="R19" s="81">
        <f>0.001*D19/150</f>
        <v>1.1999999999999999E-3</v>
      </c>
      <c r="S19" s="80">
        <f>D19*33.06/150</f>
        <v>39.672000000000004</v>
      </c>
      <c r="T19" s="80">
        <f>D19*1.19/150</f>
        <v>1.4279999999999999</v>
      </c>
      <c r="U19" s="82"/>
      <c r="V19" s="83"/>
      <c r="W19" s="83"/>
      <c r="X19" s="83"/>
    </row>
    <row r="20" spans="1:24" s="73" customFormat="1" ht="12" customHeight="1" x14ac:dyDescent="0.2">
      <c r="A20" s="69">
        <v>699</v>
      </c>
      <c r="B20" s="134" t="s">
        <v>49</v>
      </c>
      <c r="C20" s="134"/>
      <c r="D20" s="72">
        <v>200</v>
      </c>
      <c r="E20" s="65">
        <v>4.75</v>
      </c>
      <c r="F20" s="65">
        <v>0.1</v>
      </c>
      <c r="G20" s="65">
        <v>0</v>
      </c>
      <c r="H20" s="65">
        <v>15.7</v>
      </c>
      <c r="I20" s="65">
        <v>63.2</v>
      </c>
      <c r="J20" s="65">
        <v>1.7999999999999999E-2</v>
      </c>
      <c r="K20" s="65">
        <v>1.2E-2</v>
      </c>
      <c r="L20" s="65">
        <v>8</v>
      </c>
      <c r="M20" s="65">
        <v>0</v>
      </c>
      <c r="N20" s="65">
        <v>0.2</v>
      </c>
      <c r="O20" s="65">
        <v>10.8</v>
      </c>
      <c r="P20" s="65">
        <v>1.7</v>
      </c>
      <c r="Q20" s="65">
        <v>0</v>
      </c>
      <c r="R20" s="65">
        <v>0</v>
      </c>
      <c r="S20" s="65">
        <v>5.8</v>
      </c>
      <c r="T20" s="65">
        <v>1.6</v>
      </c>
      <c r="U20" s="82"/>
      <c r="V20" s="83"/>
      <c r="W20" s="83"/>
      <c r="X20" s="83"/>
    </row>
    <row r="21" spans="1:24" s="73" customFormat="1" ht="11.25" customHeight="1" x14ac:dyDescent="0.2">
      <c r="A21" s="46" t="s">
        <v>44</v>
      </c>
      <c r="B21" s="107" t="s">
        <v>30</v>
      </c>
      <c r="C21" s="108"/>
      <c r="D21" s="79">
        <v>40</v>
      </c>
      <c r="E21" s="80">
        <v>2.04</v>
      </c>
      <c r="F21" s="80">
        <f>2.64*D21/40</f>
        <v>2.64</v>
      </c>
      <c r="G21" s="80">
        <f>0.48*D21/40</f>
        <v>0.48</v>
      </c>
      <c r="H21" s="80">
        <f>13.68*D21/40</f>
        <v>13.680000000000001</v>
      </c>
      <c r="I21" s="78">
        <f>F21*4+G21*9+H21*4</f>
        <v>69.600000000000009</v>
      </c>
      <c r="J21" s="77">
        <f>0.08*D21/40</f>
        <v>0.08</v>
      </c>
      <c r="K21" s="80">
        <f>0.04*D21/40</f>
        <v>0.04</v>
      </c>
      <c r="L21" s="79">
        <v>0</v>
      </c>
      <c r="M21" s="79">
        <v>0</v>
      </c>
      <c r="N21" s="80">
        <f>2.4*D21/40</f>
        <v>2.4</v>
      </c>
      <c r="O21" s="80">
        <f>14*D21/40</f>
        <v>14</v>
      </c>
      <c r="P21" s="80">
        <f>63.2*D21/40</f>
        <v>63.2</v>
      </c>
      <c r="Q21" s="80">
        <f>1.2*D21/40</f>
        <v>1.2</v>
      </c>
      <c r="R21" s="81">
        <f>0.001*D21/40</f>
        <v>1E-3</v>
      </c>
      <c r="S21" s="80">
        <f>9.4*D21/40</f>
        <v>9.4</v>
      </c>
      <c r="T21" s="77">
        <f>0.78*D21/40</f>
        <v>0.78</v>
      </c>
      <c r="U21" s="20"/>
      <c r="V21" s="21"/>
      <c r="W21" s="21"/>
      <c r="X21" s="21"/>
    </row>
    <row r="22" spans="1:24" s="73" customFormat="1" ht="11.25" customHeight="1" x14ac:dyDescent="0.2">
      <c r="A22" s="84" t="s">
        <v>44</v>
      </c>
      <c r="B22" s="107" t="s">
        <v>34</v>
      </c>
      <c r="C22" s="108"/>
      <c r="D22" s="79">
        <v>40</v>
      </c>
      <c r="E22" s="80">
        <v>3.1</v>
      </c>
      <c r="F22" s="80">
        <f>1.52*D22/30</f>
        <v>2.0266666666666664</v>
      </c>
      <c r="G22" s="81">
        <f>0.16*D22/30</f>
        <v>0.21333333333333335</v>
      </c>
      <c r="H22" s="81">
        <f>9.84*D22/30</f>
        <v>13.120000000000001</v>
      </c>
      <c r="I22" s="81">
        <f>F22*4+G22*9+H22*4</f>
        <v>62.506666666666668</v>
      </c>
      <c r="J22" s="81">
        <f>0.02*D22/30</f>
        <v>2.6666666666666668E-2</v>
      </c>
      <c r="K22" s="81">
        <f>0.01*D22/30</f>
        <v>1.3333333333333334E-2</v>
      </c>
      <c r="L22" s="81">
        <f>0.44*D22/30</f>
        <v>0.58666666666666667</v>
      </c>
      <c r="M22" s="81">
        <v>0</v>
      </c>
      <c r="N22" s="81">
        <f>0.7*D22/30</f>
        <v>0.93333333333333335</v>
      </c>
      <c r="O22" s="81">
        <f>4*D22/30</f>
        <v>5.333333333333333</v>
      </c>
      <c r="P22" s="81">
        <f>13*D22/30</f>
        <v>17.333333333333332</v>
      </c>
      <c r="Q22" s="81">
        <f>0.008*D22/30</f>
        <v>1.0666666666666666E-2</v>
      </c>
      <c r="R22" s="81">
        <f>0.001*D22/30</f>
        <v>1.3333333333333333E-3</v>
      </c>
      <c r="S22" s="81">
        <v>0</v>
      </c>
      <c r="T22" s="81">
        <f>0.22*D22/30</f>
        <v>0.29333333333333333</v>
      </c>
      <c r="U22" s="82"/>
      <c r="V22" s="83"/>
      <c r="W22" s="83"/>
      <c r="X22" s="83"/>
    </row>
    <row r="23" spans="1:24" x14ac:dyDescent="0.2">
      <c r="A23" s="100" t="s">
        <v>44</v>
      </c>
      <c r="B23" s="133" t="s">
        <v>50</v>
      </c>
      <c r="C23" s="123"/>
      <c r="D23" s="100">
        <v>40</v>
      </c>
      <c r="E23" s="101">
        <v>10.01</v>
      </c>
      <c r="F23" s="101">
        <v>0.65</v>
      </c>
      <c r="G23" s="102">
        <v>3.8</v>
      </c>
      <c r="H23" s="103">
        <v>17.600000000000001</v>
      </c>
      <c r="I23" s="101">
        <v>38</v>
      </c>
      <c r="J23" s="101">
        <v>2.5999999999999999E-2</v>
      </c>
      <c r="K23" s="101">
        <v>0.03</v>
      </c>
      <c r="L23" s="101">
        <v>0.13</v>
      </c>
      <c r="M23" s="101">
        <v>11.96</v>
      </c>
      <c r="N23" s="102">
        <v>0.39</v>
      </c>
      <c r="O23" s="101">
        <v>24.18</v>
      </c>
      <c r="P23" s="101">
        <v>49.4</v>
      </c>
      <c r="Q23" s="104">
        <v>0.2</v>
      </c>
      <c r="R23" s="101">
        <v>2E-3</v>
      </c>
      <c r="S23" s="101">
        <v>18.72</v>
      </c>
      <c r="T23" s="101">
        <v>0.182</v>
      </c>
      <c r="U23"/>
      <c r="V23"/>
      <c r="W23"/>
      <c r="X23"/>
    </row>
    <row r="24" spans="1:24" s="73" customFormat="1" ht="11.25" customHeight="1" x14ac:dyDescent="0.2">
      <c r="A24" s="40" t="s">
        <v>24</v>
      </c>
      <c r="B24" s="41"/>
      <c r="C24" s="41"/>
      <c r="D24" s="42">
        <f>SUM(D16:D23)</f>
        <v>950</v>
      </c>
      <c r="E24" s="85">
        <f>SUM(E16:E23)</f>
        <v>90</v>
      </c>
      <c r="F24" s="27">
        <f>SUM(F16:F22)</f>
        <v>42.784666666666666</v>
      </c>
      <c r="G24" s="26">
        <f>SUM(G16:G22)</f>
        <v>34.538666666666664</v>
      </c>
      <c r="H24" s="26">
        <f>SUM(H16:H22)</f>
        <v>112.06533333333336</v>
      </c>
      <c r="I24" s="26">
        <f>SUM(I16:I22)</f>
        <v>930.30800000000011</v>
      </c>
      <c r="J24" s="27">
        <f t="shared" ref="J24:T24" si="2">SUM(J16:J22)</f>
        <v>0.86666666666666659</v>
      </c>
      <c r="K24" s="27">
        <f t="shared" si="2"/>
        <v>0.57100000000000006</v>
      </c>
      <c r="L24" s="27">
        <f t="shared" si="2"/>
        <v>46.175999999999995</v>
      </c>
      <c r="M24" s="27">
        <f t="shared" si="2"/>
        <v>0.24558333333333335</v>
      </c>
      <c r="N24" s="27">
        <f t="shared" si="2"/>
        <v>6.1333333333333337</v>
      </c>
      <c r="O24" s="27">
        <f t="shared" si="2"/>
        <v>263.66383333333334</v>
      </c>
      <c r="P24" s="27">
        <f t="shared" si="2"/>
        <v>366.1658333333333</v>
      </c>
      <c r="Q24" s="27">
        <f t="shared" si="2"/>
        <v>2.7028000000000003</v>
      </c>
      <c r="R24" s="28">
        <f t="shared" si="2"/>
        <v>4.6199999999999998E-2</v>
      </c>
      <c r="S24" s="27">
        <f t="shared" si="2"/>
        <v>128.58449999999999</v>
      </c>
      <c r="T24" s="27">
        <f t="shared" si="2"/>
        <v>6.3838333333333335</v>
      </c>
      <c r="U24" s="26"/>
      <c r="V24" s="75"/>
      <c r="W24" s="75"/>
      <c r="X24" s="75"/>
    </row>
    <row r="25" spans="1:24" s="73" customFormat="1" ht="11.25" customHeight="1" x14ac:dyDescent="0.2">
      <c r="A25" s="126" t="s">
        <v>41</v>
      </c>
      <c r="B25" s="127"/>
      <c r="C25" s="127"/>
      <c r="D25" s="128"/>
      <c r="E25" s="64"/>
      <c r="F25" s="86">
        <f t="shared" ref="F25:T25" si="3">F24/F33</f>
        <v>0.47538518518518519</v>
      </c>
      <c r="G25" s="60">
        <f t="shared" si="3"/>
        <v>0.37542028985507242</v>
      </c>
      <c r="H25" s="60">
        <f t="shared" si="3"/>
        <v>0.29259878154917324</v>
      </c>
      <c r="I25" s="60">
        <f t="shared" si="3"/>
        <v>0.34202500000000002</v>
      </c>
      <c r="J25" s="60">
        <f t="shared" si="3"/>
        <v>0.61904761904761907</v>
      </c>
      <c r="K25" s="60">
        <f t="shared" si="3"/>
        <v>0.356875</v>
      </c>
      <c r="L25" s="60">
        <f t="shared" si="3"/>
        <v>0.65965714285714283</v>
      </c>
      <c r="M25" s="60">
        <f t="shared" si="3"/>
        <v>0.27287037037037037</v>
      </c>
      <c r="N25" s="60">
        <f t="shared" si="3"/>
        <v>0.51111111111111118</v>
      </c>
      <c r="O25" s="60">
        <f t="shared" si="3"/>
        <v>0.21971986111111111</v>
      </c>
      <c r="P25" s="60">
        <f t="shared" si="3"/>
        <v>0.3051381944444444</v>
      </c>
      <c r="Q25" s="60">
        <f t="shared" si="3"/>
        <v>0.19305714285714287</v>
      </c>
      <c r="R25" s="60">
        <f t="shared" si="3"/>
        <v>0.46199999999999997</v>
      </c>
      <c r="S25" s="60">
        <f t="shared" si="3"/>
        <v>0.42861499999999997</v>
      </c>
      <c r="T25" s="60">
        <f t="shared" si="3"/>
        <v>0.35465740740740742</v>
      </c>
      <c r="U25" s="76"/>
      <c r="V25" s="75"/>
      <c r="W25" s="75"/>
      <c r="X25" s="75"/>
    </row>
    <row r="26" spans="1:24" s="73" customFormat="1" ht="11.25" hidden="1" customHeight="1" x14ac:dyDescent="0.2">
      <c r="A26" s="91"/>
      <c r="B26" s="92"/>
      <c r="C26" s="92"/>
      <c r="D26" s="92"/>
      <c r="E26" s="90">
        <f>90-E24</f>
        <v>0</v>
      </c>
      <c r="F26" s="86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  <c r="U26" s="76"/>
      <c r="V26" s="75"/>
      <c r="W26" s="75"/>
      <c r="X26" s="75"/>
    </row>
    <row r="27" spans="1:24" s="73" customFormat="1" ht="11.25" customHeight="1" x14ac:dyDescent="0.2">
      <c r="A27" s="112" t="s">
        <v>25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4"/>
      <c r="U27" s="8"/>
      <c r="V27" s="17"/>
      <c r="W27" s="17"/>
      <c r="X27" s="17"/>
    </row>
    <row r="28" spans="1:24" s="66" customFormat="1" ht="12" customHeight="1" x14ac:dyDescent="0.2">
      <c r="A28" s="71"/>
      <c r="B28" s="130" t="s">
        <v>51</v>
      </c>
      <c r="C28" s="130"/>
      <c r="D28" s="68">
        <v>75</v>
      </c>
      <c r="E28" s="67">
        <v>25.27</v>
      </c>
      <c r="F28" s="67">
        <v>11</v>
      </c>
      <c r="G28" s="106">
        <v>9.5</v>
      </c>
      <c r="H28" s="106">
        <v>31.5</v>
      </c>
      <c r="I28" s="67">
        <v>255.5</v>
      </c>
      <c r="J28" s="67">
        <v>0.1</v>
      </c>
      <c r="K28" s="67">
        <v>0.3</v>
      </c>
      <c r="L28" s="67">
        <v>0.6</v>
      </c>
      <c r="M28" s="67">
        <v>0.13</v>
      </c>
      <c r="N28" s="67">
        <v>1.8</v>
      </c>
      <c r="O28" s="67">
        <v>18.600000000000001</v>
      </c>
      <c r="P28" s="67">
        <v>113.8</v>
      </c>
      <c r="Q28" s="67">
        <v>1.63</v>
      </c>
      <c r="R28" s="67">
        <v>0.01</v>
      </c>
      <c r="S28" s="67">
        <v>17.399999999999999</v>
      </c>
      <c r="T28" s="67">
        <v>0.6</v>
      </c>
    </row>
    <row r="29" spans="1:24" s="73" customFormat="1" ht="21.75" customHeight="1" x14ac:dyDescent="0.2">
      <c r="A29" s="84">
        <v>349</v>
      </c>
      <c r="B29" s="107" t="s">
        <v>48</v>
      </c>
      <c r="C29" s="108"/>
      <c r="D29" s="79">
        <v>200</v>
      </c>
      <c r="E29" s="80">
        <v>4.7300000000000004</v>
      </c>
      <c r="F29" s="80">
        <v>0.22</v>
      </c>
      <c r="G29" s="77"/>
      <c r="H29" s="80">
        <v>24.42</v>
      </c>
      <c r="I29" s="80">
        <f>F29*4+G29*9+H29*4</f>
        <v>98.56</v>
      </c>
      <c r="J29" s="77"/>
      <c r="K29" s="77"/>
      <c r="L29" s="80">
        <v>26.11</v>
      </c>
      <c r="M29" s="77"/>
      <c r="N29" s="77"/>
      <c r="O29" s="78">
        <v>22.6</v>
      </c>
      <c r="P29" s="78">
        <v>7.7</v>
      </c>
      <c r="Q29" s="79">
        <v>0</v>
      </c>
      <c r="R29" s="79">
        <v>0</v>
      </c>
      <c r="S29" s="78">
        <v>3</v>
      </c>
      <c r="T29" s="80">
        <v>0.66</v>
      </c>
      <c r="U29" s="82"/>
      <c r="V29" s="83"/>
      <c r="W29" s="83"/>
      <c r="X29" s="83"/>
    </row>
    <row r="30" spans="1:24" s="1" customFormat="1" ht="11.25" customHeight="1" x14ac:dyDescent="0.2">
      <c r="A30" s="40" t="s">
        <v>26</v>
      </c>
      <c r="B30" s="41"/>
      <c r="C30" s="41"/>
      <c r="D30" s="42">
        <f t="shared" ref="D30:T30" si="4">SUM(D28:D29)</f>
        <v>275</v>
      </c>
      <c r="E30" s="85">
        <f t="shared" si="4"/>
        <v>30</v>
      </c>
      <c r="F30" s="27">
        <f t="shared" si="4"/>
        <v>11.22</v>
      </c>
      <c r="G30" s="26">
        <f t="shared" si="4"/>
        <v>9.5</v>
      </c>
      <c r="H30" s="26">
        <f t="shared" si="4"/>
        <v>55.92</v>
      </c>
      <c r="I30" s="26">
        <f t="shared" si="4"/>
        <v>354.06</v>
      </c>
      <c r="J30" s="26">
        <f t="shared" si="4"/>
        <v>0.1</v>
      </c>
      <c r="K30" s="26">
        <f t="shared" si="4"/>
        <v>0.3</v>
      </c>
      <c r="L30" s="26">
        <f t="shared" si="4"/>
        <v>26.71</v>
      </c>
      <c r="M30" s="26">
        <f t="shared" si="4"/>
        <v>0.13</v>
      </c>
      <c r="N30" s="26">
        <f t="shared" si="4"/>
        <v>1.8</v>
      </c>
      <c r="O30" s="26">
        <f t="shared" si="4"/>
        <v>41.2</v>
      </c>
      <c r="P30" s="26">
        <f t="shared" si="4"/>
        <v>121.5</v>
      </c>
      <c r="Q30" s="26">
        <f t="shared" si="4"/>
        <v>1.63</v>
      </c>
      <c r="R30" s="26">
        <f t="shared" si="4"/>
        <v>0.01</v>
      </c>
      <c r="S30" s="26">
        <f t="shared" si="4"/>
        <v>20.399999999999999</v>
      </c>
      <c r="T30" s="26">
        <f t="shared" si="4"/>
        <v>1.26</v>
      </c>
      <c r="U30" s="26"/>
      <c r="V30" s="75"/>
      <c r="W30" s="75"/>
      <c r="X30" s="75"/>
    </row>
    <row r="31" spans="1:24" s="1" customFormat="1" ht="11.25" customHeight="1" x14ac:dyDescent="0.2">
      <c r="A31" s="126" t="s">
        <v>41</v>
      </c>
      <c r="B31" s="127"/>
      <c r="C31" s="127"/>
      <c r="D31" s="128"/>
      <c r="E31" s="64"/>
      <c r="F31" s="86">
        <f>F30/F33</f>
        <v>0.12466666666666668</v>
      </c>
      <c r="G31" s="63">
        <f t="shared" ref="G31:T31" si="5">G30/G33</f>
        <v>0.10326086956521739</v>
      </c>
      <c r="H31" s="63">
        <f t="shared" si="5"/>
        <v>0.14600522193211488</v>
      </c>
      <c r="I31" s="63">
        <f t="shared" si="5"/>
        <v>0.13016911764705882</v>
      </c>
      <c r="J31" s="63">
        <f t="shared" si="5"/>
        <v>7.1428571428571438E-2</v>
      </c>
      <c r="K31" s="63">
        <f t="shared" si="5"/>
        <v>0.18749999999999997</v>
      </c>
      <c r="L31" s="63">
        <f t="shared" si="5"/>
        <v>0.38157142857142856</v>
      </c>
      <c r="M31" s="63">
        <f t="shared" si="5"/>
        <v>0.14444444444444446</v>
      </c>
      <c r="N31" s="63">
        <f t="shared" si="5"/>
        <v>0.15</v>
      </c>
      <c r="O31" s="63">
        <f t="shared" si="5"/>
        <v>3.4333333333333334E-2</v>
      </c>
      <c r="P31" s="63">
        <f t="shared" si="5"/>
        <v>0.10125000000000001</v>
      </c>
      <c r="Q31" s="63">
        <f t="shared" si="5"/>
        <v>0.11642857142857142</v>
      </c>
      <c r="R31" s="63">
        <f t="shared" si="5"/>
        <v>9.9999999999999992E-2</v>
      </c>
      <c r="S31" s="63">
        <f t="shared" si="5"/>
        <v>6.7999999999999991E-2</v>
      </c>
      <c r="T31" s="63">
        <f t="shared" si="5"/>
        <v>7.0000000000000007E-2</v>
      </c>
      <c r="U31" s="38"/>
      <c r="V31" s="75"/>
      <c r="W31" s="75"/>
      <c r="X31" s="75"/>
    </row>
    <row r="32" spans="1:24" s="1" customFormat="1" ht="11.25" customHeight="1" x14ac:dyDescent="0.2">
      <c r="A32" s="126" t="s">
        <v>40</v>
      </c>
      <c r="B32" s="127"/>
      <c r="C32" s="127"/>
      <c r="D32" s="128"/>
      <c r="E32" s="93"/>
      <c r="F32" s="27">
        <f t="shared" ref="F32:T32" si="6">SUM(F12,F24,F30)</f>
        <v>81.884666666666661</v>
      </c>
      <c r="G32" s="26">
        <f t="shared" si="6"/>
        <v>73.102000000000004</v>
      </c>
      <c r="H32" s="26">
        <f t="shared" si="6"/>
        <v>245.4206666666667</v>
      </c>
      <c r="I32" s="26">
        <f t="shared" si="6"/>
        <v>1967.2713333333336</v>
      </c>
      <c r="J32" s="27">
        <f t="shared" si="6"/>
        <v>1.8523333333333334</v>
      </c>
      <c r="K32" s="27">
        <f t="shared" si="6"/>
        <v>1.8343333333333336</v>
      </c>
      <c r="L32" s="31">
        <f t="shared" si="6"/>
        <v>82.062666666666672</v>
      </c>
      <c r="M32" s="27">
        <f t="shared" si="6"/>
        <v>0.86858333333333337</v>
      </c>
      <c r="N32" s="31">
        <f t="shared" si="6"/>
        <v>8.956666666666667</v>
      </c>
      <c r="O32" s="26">
        <f t="shared" si="6"/>
        <v>481.78716666666668</v>
      </c>
      <c r="P32" s="27">
        <f t="shared" si="6"/>
        <v>909.24916666666661</v>
      </c>
      <c r="Q32" s="26">
        <f t="shared" si="6"/>
        <v>5.5074666666666667</v>
      </c>
      <c r="R32" s="28">
        <f t="shared" si="6"/>
        <v>6.8533333333333335E-2</v>
      </c>
      <c r="S32" s="27">
        <f t="shared" si="6"/>
        <v>231.5745</v>
      </c>
      <c r="T32" s="27">
        <f t="shared" si="6"/>
        <v>11.007166666666667</v>
      </c>
      <c r="U32" s="32"/>
      <c r="V32" s="74"/>
      <c r="W32" s="74"/>
      <c r="X32" s="74"/>
    </row>
    <row r="33" spans="1:24" s="1" customFormat="1" ht="11.25" customHeight="1" x14ac:dyDescent="0.2">
      <c r="A33" s="126" t="s">
        <v>42</v>
      </c>
      <c r="B33" s="127"/>
      <c r="C33" s="127"/>
      <c r="D33" s="128"/>
      <c r="E33" s="93"/>
      <c r="F33" s="80">
        <v>90</v>
      </c>
      <c r="G33" s="78">
        <v>92</v>
      </c>
      <c r="H33" s="78">
        <v>383</v>
      </c>
      <c r="I33" s="78">
        <v>2720</v>
      </c>
      <c r="J33" s="80">
        <v>1.4</v>
      </c>
      <c r="K33" s="80">
        <v>1.6</v>
      </c>
      <c r="L33" s="79">
        <v>70</v>
      </c>
      <c r="M33" s="80">
        <v>0.9</v>
      </c>
      <c r="N33" s="79">
        <v>12</v>
      </c>
      <c r="O33" s="79">
        <v>1200</v>
      </c>
      <c r="P33" s="79">
        <v>1200</v>
      </c>
      <c r="Q33" s="79">
        <v>14</v>
      </c>
      <c r="R33" s="78">
        <v>0.1</v>
      </c>
      <c r="S33" s="79">
        <v>300</v>
      </c>
      <c r="T33" s="80">
        <v>18</v>
      </c>
      <c r="U33" s="82"/>
      <c r="V33" s="83"/>
      <c r="W33" s="83"/>
      <c r="X33" s="83"/>
    </row>
    <row r="34" spans="1:24" s="5" customFormat="1" ht="11.25" customHeight="1" x14ac:dyDescent="0.2">
      <c r="A34" s="109" t="s">
        <v>41</v>
      </c>
      <c r="B34" s="110"/>
      <c r="C34" s="110"/>
      <c r="D34" s="111"/>
      <c r="E34" s="98"/>
      <c r="F34" s="45">
        <f t="shared" ref="F34:T34" si="7">F32/F33</f>
        <v>0.90982962962962954</v>
      </c>
      <c r="G34" s="29">
        <f t="shared" si="7"/>
        <v>0.79458695652173916</v>
      </c>
      <c r="H34" s="29">
        <f t="shared" si="7"/>
        <v>0.64078503046127078</v>
      </c>
      <c r="I34" s="29">
        <f t="shared" si="7"/>
        <v>0.72326151960784324</v>
      </c>
      <c r="J34" s="29">
        <f t="shared" si="7"/>
        <v>1.3230952380952383</v>
      </c>
      <c r="K34" s="29">
        <f t="shared" si="7"/>
        <v>1.1464583333333334</v>
      </c>
      <c r="L34" s="29">
        <f t="shared" si="7"/>
        <v>1.1723238095238095</v>
      </c>
      <c r="M34" s="30">
        <f t="shared" si="7"/>
        <v>0.96509259259259261</v>
      </c>
      <c r="N34" s="30">
        <f t="shared" si="7"/>
        <v>0.74638888888888888</v>
      </c>
      <c r="O34" s="29">
        <f t="shared" si="7"/>
        <v>0.40148930555555556</v>
      </c>
      <c r="P34" s="29">
        <f t="shared" si="7"/>
        <v>0.75770763888888881</v>
      </c>
      <c r="Q34" s="29">
        <f t="shared" si="7"/>
        <v>0.39339047619047618</v>
      </c>
      <c r="R34" s="30">
        <f t="shared" si="7"/>
        <v>0.68533333333333335</v>
      </c>
      <c r="S34" s="29">
        <f t="shared" si="7"/>
        <v>0.77191500000000002</v>
      </c>
      <c r="T34" s="29">
        <f t="shared" si="7"/>
        <v>0.61150925925925925</v>
      </c>
      <c r="U34" s="33"/>
      <c r="V34" s="34"/>
      <c r="W34" s="34"/>
      <c r="X34" s="34"/>
    </row>
    <row r="35" spans="1:24" s="1" customFormat="1" ht="11.25" customHeight="1" x14ac:dyDescent="0.2">
      <c r="A35" s="135" t="s">
        <v>29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9"/>
      <c r="V35" s="18"/>
      <c r="W35" s="18"/>
      <c r="X35" s="18"/>
    </row>
    <row r="36" spans="1:24" s="53" customFormat="1" ht="13.5" customHeight="1" x14ac:dyDescent="0.2">
      <c r="A36" s="54"/>
      <c r="B36" s="54"/>
      <c r="C36" s="54"/>
      <c r="D36" s="54"/>
      <c r="E36" s="54"/>
      <c r="F36" s="58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  <c r="W36" s="52"/>
      <c r="X36" s="52"/>
    </row>
  </sheetData>
  <mergeCells count="39">
    <mergeCell ref="B9:C9"/>
    <mergeCell ref="B10:C10"/>
    <mergeCell ref="B16:C16"/>
    <mergeCell ref="B19:C19"/>
    <mergeCell ref="A13:D13"/>
    <mergeCell ref="A25:D25"/>
    <mergeCell ref="A31:D31"/>
    <mergeCell ref="A32:D32"/>
    <mergeCell ref="A33:D33"/>
    <mergeCell ref="A35:T35"/>
    <mergeCell ref="A1:T1"/>
    <mergeCell ref="D4:D5"/>
    <mergeCell ref="B8:C8"/>
    <mergeCell ref="G2:I2"/>
    <mergeCell ref="L2:M2"/>
    <mergeCell ref="L3:M3"/>
    <mergeCell ref="A15:T15"/>
    <mergeCell ref="J4:N4"/>
    <mergeCell ref="B23:C23"/>
    <mergeCell ref="A27:T27"/>
    <mergeCell ref="B17:C17"/>
    <mergeCell ref="N3:T3"/>
    <mergeCell ref="A4:A5"/>
    <mergeCell ref="O4:T4"/>
    <mergeCell ref="B4:C5"/>
    <mergeCell ref="B28:C28"/>
    <mergeCell ref="A7:T7"/>
    <mergeCell ref="F4:H4"/>
    <mergeCell ref="I4:I5"/>
    <mergeCell ref="B18:C18"/>
    <mergeCell ref="B22:C22"/>
    <mergeCell ref="B6:C6"/>
    <mergeCell ref="B29:C29"/>
    <mergeCell ref="B11:C11"/>
    <mergeCell ref="B20:C20"/>
    <mergeCell ref="B21:C21"/>
    <mergeCell ref="D3:F3"/>
    <mergeCell ref="N2:Q2"/>
    <mergeCell ref="A34:D34"/>
  </mergeCells>
  <pageMargins left="0.7" right="0.7" top="0.75" bottom="0.75" header="0.3" footer="0.3"/>
  <pageSetup paperSize="9" scale="79" orientation="landscape" r:id="rId1"/>
  <rowBreaks count="1" manualBreakCount="1">
    <brk id="3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zav_karam_nijn</dc:creator>
  <cp:lastModifiedBy>programmist</cp:lastModifiedBy>
  <cp:revision>1</cp:revision>
  <cp:lastPrinted>2023-08-22T13:00:56Z</cp:lastPrinted>
  <dcterms:created xsi:type="dcterms:W3CDTF">2017-06-07T09:01:22Z</dcterms:created>
  <dcterms:modified xsi:type="dcterms:W3CDTF">2023-09-13T11:38:00Z</dcterms:modified>
</cp:coreProperties>
</file>