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2315" windowHeight="8520" tabRatio="0"/>
  </bookViews>
  <sheets>
    <sheet name="TDSheet" sheetId="1" r:id="rId1"/>
  </sheets>
  <definedNames>
    <definedName name="_xlnm.Print_Area" localSheetId="0">TDSheet!$A$1:$T$35</definedName>
  </definedNames>
  <calcPr calcId="144525"/>
</workbook>
</file>

<file path=xl/calcChain.xml><?xml version="1.0" encoding="utf-8"?>
<calcChain xmlns="http://schemas.openxmlformats.org/spreadsheetml/2006/main">
  <c r="E30" i="1" l="1"/>
  <c r="I28" i="1"/>
  <c r="T17" i="1"/>
  <c r="S17" i="1"/>
  <c r="R17" i="1"/>
  <c r="Q17" i="1"/>
  <c r="P17" i="1"/>
  <c r="O17" i="1"/>
  <c r="N17" i="1"/>
  <c r="M17" i="1"/>
  <c r="L17" i="1"/>
  <c r="K17" i="1"/>
  <c r="J17" i="1"/>
  <c r="H17" i="1"/>
  <c r="G17" i="1"/>
  <c r="F17" i="1"/>
  <c r="A13" i="1"/>
  <c r="A8" i="1"/>
  <c r="D30" i="1"/>
  <c r="T30" i="1"/>
  <c r="T31" i="1" s="1"/>
  <c r="S30" i="1"/>
  <c r="S31" i="1" s="1"/>
  <c r="R30" i="1"/>
  <c r="R31" i="1" s="1"/>
  <c r="Q30" i="1"/>
  <c r="Q31" i="1" s="1"/>
  <c r="P30" i="1"/>
  <c r="P31" i="1" s="1"/>
  <c r="O30" i="1"/>
  <c r="O31" i="1" s="1"/>
  <c r="N30" i="1"/>
  <c r="N31" i="1" s="1"/>
  <c r="M30" i="1"/>
  <c r="M31" i="1"/>
  <c r="L30" i="1"/>
  <c r="L31" i="1" s="1"/>
  <c r="K30" i="1"/>
  <c r="K31" i="1" s="1"/>
  <c r="J30" i="1"/>
  <c r="J31" i="1" s="1"/>
  <c r="H30" i="1"/>
  <c r="H31" i="1" s="1"/>
  <c r="F30" i="1"/>
  <c r="F31" i="1" s="1"/>
  <c r="E24" i="1"/>
  <c r="E26" i="1"/>
  <c r="D24" i="1"/>
  <c r="T23" i="1"/>
  <c r="R23" i="1"/>
  <c r="Q23" i="1"/>
  <c r="P23" i="1"/>
  <c r="O23" i="1"/>
  <c r="N23" i="1"/>
  <c r="L23" i="1"/>
  <c r="K23" i="1"/>
  <c r="J23" i="1"/>
  <c r="H23" i="1"/>
  <c r="G23" i="1"/>
  <c r="F23" i="1"/>
  <c r="T22" i="1"/>
  <c r="S22" i="1"/>
  <c r="R22" i="1"/>
  <c r="Q22" i="1"/>
  <c r="P22" i="1"/>
  <c r="O22" i="1"/>
  <c r="N22" i="1"/>
  <c r="N24" i="1" s="1"/>
  <c r="K22" i="1"/>
  <c r="J22" i="1"/>
  <c r="H22" i="1"/>
  <c r="G22" i="1"/>
  <c r="F22" i="1"/>
  <c r="T19" i="1"/>
  <c r="T24" i="1"/>
  <c r="T25" i="1"/>
  <c r="S19" i="1"/>
  <c r="S24" i="1" s="1"/>
  <c r="R19" i="1"/>
  <c r="Q19" i="1"/>
  <c r="P19" i="1"/>
  <c r="O19" i="1"/>
  <c r="N19" i="1"/>
  <c r="M19" i="1"/>
  <c r="L19" i="1"/>
  <c r="K19" i="1"/>
  <c r="J19" i="1"/>
  <c r="H19" i="1"/>
  <c r="H24" i="1" s="1"/>
  <c r="H25" i="1" s="1"/>
  <c r="G19" i="1"/>
  <c r="F19" i="1"/>
  <c r="I18" i="1"/>
  <c r="T16" i="1"/>
  <c r="S16" i="1"/>
  <c r="R16" i="1"/>
  <c r="Q16" i="1"/>
  <c r="P16" i="1"/>
  <c r="O16" i="1"/>
  <c r="N16" i="1"/>
  <c r="M16" i="1"/>
  <c r="L16" i="1"/>
  <c r="K16" i="1"/>
  <c r="J16" i="1"/>
  <c r="H16" i="1"/>
  <c r="G16" i="1"/>
  <c r="F16" i="1"/>
  <c r="I16" i="1" s="1"/>
  <c r="E13" i="1"/>
  <c r="D13" i="1"/>
  <c r="T12" i="1"/>
  <c r="R12" i="1"/>
  <c r="Q12" i="1"/>
  <c r="P12" i="1"/>
  <c r="O12" i="1"/>
  <c r="N12" i="1"/>
  <c r="N13" i="1" s="1"/>
  <c r="N14" i="1" s="1"/>
  <c r="L12" i="1"/>
  <c r="K12" i="1"/>
  <c r="J12" i="1"/>
  <c r="H12" i="1"/>
  <c r="G12" i="1"/>
  <c r="F12" i="1"/>
  <c r="T11" i="1"/>
  <c r="S11" i="1"/>
  <c r="S13" i="1" s="1"/>
  <c r="R11" i="1"/>
  <c r="Q11" i="1"/>
  <c r="P11" i="1"/>
  <c r="O11" i="1"/>
  <c r="O13" i="1"/>
  <c r="O14" i="1" s="1"/>
  <c r="N11" i="1"/>
  <c r="M11" i="1"/>
  <c r="M13" i="1"/>
  <c r="M14" i="1" s="1"/>
  <c r="L11" i="1"/>
  <c r="K11" i="1"/>
  <c r="K13" i="1" s="1"/>
  <c r="K14" i="1" s="1"/>
  <c r="J11" i="1"/>
  <c r="H11" i="1"/>
  <c r="G11" i="1"/>
  <c r="G13" i="1" s="1"/>
  <c r="G14" i="1" s="1"/>
  <c r="F11" i="1"/>
  <c r="G30" i="1"/>
  <c r="G31" i="1"/>
  <c r="P13" i="1"/>
  <c r="P14" i="1" s="1"/>
  <c r="I30" i="1"/>
  <c r="I31" i="1" s="1"/>
  <c r="Q13" i="1"/>
  <c r="J13" i="1"/>
  <c r="J14" i="1" s="1"/>
  <c r="F13" i="1"/>
  <c r="F14" i="1" s="1"/>
  <c r="L24" i="1"/>
  <c r="L25" i="1" s="1"/>
  <c r="P24" i="1"/>
  <c r="P25" i="1" s="1"/>
  <c r="I19" i="1"/>
  <c r="S14" i="1"/>
  <c r="G24" i="1"/>
  <c r="G25" i="1" s="1"/>
  <c r="J24" i="1"/>
  <c r="J25" i="1" s="1"/>
  <c r="R24" i="1"/>
  <c r="R25" i="1" s="1"/>
  <c r="G32" i="1"/>
  <c r="G34" i="1" s="1"/>
  <c r="S25" i="1"/>
  <c r="S32" i="1"/>
  <c r="S34" i="1" s="1"/>
  <c r="Q14" i="1"/>
  <c r="F24" i="1"/>
  <c r="F32" i="1" s="1"/>
  <c r="F34" i="1" s="1"/>
  <c r="Q24" i="1"/>
  <c r="Q32" i="1" s="1"/>
  <c r="Q34" i="1" s="1"/>
  <c r="Q25" i="1"/>
  <c r="L13" i="1"/>
  <c r="L14" i="1" s="1"/>
  <c r="I12" i="1"/>
  <c r="M24" i="1"/>
  <c r="M25" i="1" s="1"/>
  <c r="I23" i="1"/>
  <c r="M32" i="1"/>
  <c r="M34" i="1" s="1"/>
  <c r="L32" i="1" l="1"/>
  <c r="L34" i="1" s="1"/>
  <c r="F25" i="1"/>
  <c r="I11" i="1"/>
  <c r="I13" i="1" s="1"/>
  <c r="I14" i="1" s="1"/>
  <c r="I22" i="1"/>
  <c r="R13" i="1"/>
  <c r="R14" i="1" s="1"/>
  <c r="J32" i="1"/>
  <c r="J34" i="1" s="1"/>
  <c r="N32" i="1"/>
  <c r="N34" i="1" s="1"/>
  <c r="N25" i="1"/>
  <c r="I17" i="1"/>
  <c r="I24" i="1" s="1"/>
  <c r="T13" i="1"/>
  <c r="P32" i="1"/>
  <c r="P34" i="1" s="1"/>
  <c r="H13" i="1"/>
  <c r="K24" i="1"/>
  <c r="O24" i="1"/>
  <c r="R32" i="1" l="1"/>
  <c r="R34" i="1" s="1"/>
  <c r="I32" i="1"/>
  <c r="I34" i="1" s="1"/>
  <c r="I25" i="1"/>
  <c r="O25" i="1"/>
  <c r="O32" i="1"/>
  <c r="O34" i="1" s="1"/>
  <c r="H14" i="1"/>
  <c r="H32" i="1"/>
  <c r="H34" i="1" s="1"/>
  <c r="T14" i="1"/>
  <c r="T32" i="1"/>
  <c r="T34" i="1" s="1"/>
  <c r="K32" i="1"/>
  <c r="K34" i="1" s="1"/>
  <c r="K25" i="1"/>
</calcChain>
</file>

<file path=xl/sharedStrings.xml><?xml version="1.0" encoding="utf-8"?>
<sst xmlns="http://schemas.openxmlformats.org/spreadsheetml/2006/main" count="59" uniqueCount="51">
  <si>
    <t>Сезон:</t>
  </si>
  <si>
    <t>Неделя: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</si>
  <si>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</si>
  <si>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</si>
  <si>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</si>
  <si>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</si>
  <si>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</si>
  <si>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</si>
  <si>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</si>
  <si>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</si>
  <si>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</si>
  <si>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</si>
  <si>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</si>
  <si>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</si>
  <si>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</si>
  <si>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</si>
  <si>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</si>
  <si>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</si>
  <si>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</si>
  <si>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</si>
  <si>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</si>
  <si>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Обед (полноценный рацион питания)</t>
  </si>
  <si>
    <t>Итого за Обед (полноценный рацион питания)</t>
  </si>
  <si>
    <t>Полдник</t>
  </si>
  <si>
    <t>Итого за Полдник</t>
  </si>
  <si>
    <t>Примерное меню и пищевая ценность приготовляемых блюд (лист 2)</t>
  </si>
  <si>
    <t>вторник</t>
  </si>
  <si>
    <t>Чай с лимоном</t>
  </si>
  <si>
    <t>Хлеб ржано-пшеничный</t>
  </si>
  <si>
    <t>Хлеб пшеничный</t>
  </si>
  <si>
    <t>Салат из свеклы с маслом растительным</t>
  </si>
  <si>
    <t xml:space="preserve">Рацион: Школа </t>
  </si>
  <si>
    <t>7-11 лет</t>
  </si>
  <si>
    <t>В2</t>
  </si>
  <si>
    <t>ZN</t>
  </si>
  <si>
    <t>I</t>
  </si>
  <si>
    <t>Итого в день</t>
  </si>
  <si>
    <t>% от суточной нормы</t>
  </si>
  <si>
    <t>суточная норма</t>
  </si>
  <si>
    <t>Приложение 8 к СанПиН 2.3/2.4.3590-20</t>
  </si>
  <si>
    <t>ПР</t>
  </si>
  <si>
    <t>Салат из капусты с огурцом</t>
  </si>
  <si>
    <t>* 29 ОП</t>
  </si>
  <si>
    <t xml:space="preserve">Какао с молоком </t>
  </si>
  <si>
    <t>Котлета " Школьная" запеченная (в соответствии с ГОСТ Р 55366-2012)</t>
  </si>
  <si>
    <t>Пудинг творожный</t>
  </si>
  <si>
    <t>Сгущенное молоко</t>
  </si>
  <si>
    <t>Борщ со свежей капустой на м/б</t>
  </si>
  <si>
    <t xml:space="preserve">Рис отварной с маслом сливочным </t>
  </si>
  <si>
    <t>Напиток апельсиновый</t>
  </si>
  <si>
    <t>Пирожок с 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</si>
</sst>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2" formatCode="0.0"/>
    <numFmt numFmtId="184" formatCode="0.000"/>
    <numFmt numFmtId="185" formatCode="0.0000"/>
    <numFmt numFmtId="193" formatCode="0.0%"/>
  </numFmts>
  <fonts count="6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44">
    <xf numFmtId="0" fontId="0" fillId="0" borderId="0" xfId="0"/>
    <xf numFmtId="0" fontId="3" fillId="0" borderId="0" xfId="0" applyFont="1"/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" fontId="3" fillId="4" borderId="0" xfId="0" applyNumberFormat="1" applyFont="1" applyFill="1" applyAlignment="1">
      <alignment horizontal="left"/>
    </xf>
    <xf numFmtId="10" fontId="3" fillId="0" borderId="0" xfId="0" applyNumberFormat="1" applyFont="1"/>
    <xf numFmtId="0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indent="1"/>
    </xf>
    <xf numFmtId="0" fontId="3" fillId="4" borderId="1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/>
    <xf numFmtId="0" fontId="3" fillId="4" borderId="2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 indent="1"/>
    </xf>
    <xf numFmtId="0" fontId="2" fillId="4" borderId="2" xfId="0" applyNumberFormat="1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3" fillId="4" borderId="1" xfId="0" applyNumberFormat="1" applyFont="1" applyFill="1" applyBorder="1" applyAlignment="1">
      <alignment horizontal="center" vertical="top"/>
    </xf>
    <xf numFmtId="0" fontId="3" fillId="4" borderId="2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 wrapText="1"/>
    </xf>
    <xf numFmtId="2" fontId="3" fillId="4" borderId="2" xfId="0" applyNumberFormat="1" applyFont="1" applyFill="1" applyBorder="1" applyAlignment="1">
      <alignment horizontal="center" vertical="top" wrapText="1"/>
    </xf>
    <xf numFmtId="2" fontId="3" fillId="4" borderId="0" xfId="0" applyNumberFormat="1" applyFont="1" applyFill="1"/>
    <xf numFmtId="1" fontId="3" fillId="4" borderId="3" xfId="0" applyNumberFormat="1" applyFont="1" applyFill="1" applyBorder="1" applyAlignment="1">
      <alignment horizontal="center"/>
    </xf>
    <xf numFmtId="182" fontId="2" fillId="4" borderId="3" xfId="0" applyNumberFormat="1" applyFont="1" applyFill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84" fontId="2" fillId="4" borderId="3" xfId="0" applyNumberFormat="1" applyFont="1" applyFill="1" applyBorder="1" applyAlignment="1">
      <alignment horizontal="center" vertical="top"/>
    </xf>
    <xf numFmtId="2" fontId="2" fillId="4" borderId="1" xfId="0" applyNumberFormat="1" applyFont="1" applyFill="1" applyBorder="1" applyAlignment="1">
      <alignment horizontal="center" vertical="top"/>
    </xf>
    <xf numFmtId="0" fontId="2" fillId="4" borderId="3" xfId="0" applyNumberFormat="1" applyFont="1" applyFill="1" applyBorder="1" applyAlignment="1">
      <alignment horizontal="center" vertical="top"/>
    </xf>
    <xf numFmtId="193" fontId="2" fillId="4" borderId="3" xfId="0" applyNumberFormat="1" applyFont="1" applyFill="1" applyBorder="1" applyAlignment="1">
      <alignment horizontal="center" vertical="top"/>
    </xf>
    <xf numFmtId="9" fontId="2" fillId="4" borderId="3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93" fontId="2" fillId="4" borderId="1" xfId="0" applyNumberFormat="1" applyFont="1" applyFill="1" applyBorder="1" applyAlignment="1">
      <alignment horizontal="center" vertical="top"/>
    </xf>
    <xf numFmtId="193" fontId="2" fillId="4" borderId="2" xfId="0" applyNumberFormat="1" applyFont="1" applyFill="1" applyBorder="1" applyAlignment="1">
      <alignment horizontal="center" vertical="top"/>
    </xf>
    <xf numFmtId="182" fontId="3" fillId="0" borderId="0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2" fontId="2" fillId="4" borderId="5" xfId="0" applyNumberFormat="1" applyFont="1" applyFill="1" applyBorder="1" applyAlignment="1"/>
    <xf numFmtId="2" fontId="2" fillId="4" borderId="6" xfId="0" applyNumberFormat="1" applyFont="1" applyFill="1" applyBorder="1" applyAlignment="1"/>
    <xf numFmtId="1" fontId="2" fillId="4" borderId="3" xfId="0" applyNumberFormat="1" applyFont="1" applyFill="1" applyBorder="1" applyAlignment="1"/>
    <xf numFmtId="1" fontId="3" fillId="4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10" fontId="2" fillId="4" borderId="3" xfId="0" applyNumberFormat="1" applyFont="1" applyFill="1" applyBorder="1" applyAlignment="1">
      <alignment horizontal="center" vertical="top"/>
    </xf>
    <xf numFmtId="2" fontId="3" fillId="4" borderId="3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top" wrapText="1"/>
    </xf>
    <xf numFmtId="184" fontId="3" fillId="4" borderId="3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right" vertical="center" indent="1"/>
    </xf>
    <xf numFmtId="182" fontId="4" fillId="4" borderId="3" xfId="0" applyNumberFormat="1" applyFont="1" applyFill="1" applyBorder="1" applyAlignment="1">
      <alignment horizontal="right" vertical="center" indent="1"/>
    </xf>
    <xf numFmtId="184" fontId="4" fillId="4" borderId="3" xfId="0" applyNumberFormat="1" applyFont="1" applyFill="1" applyBorder="1" applyAlignment="1">
      <alignment horizontal="right" vertical="center" indent="1"/>
    </xf>
    <xf numFmtId="2" fontId="4" fillId="4" borderId="3" xfId="0" applyNumberFormat="1" applyFont="1" applyFill="1" applyBorder="1" applyAlignment="1">
      <alignment horizontal="right" vertical="center" indent="1"/>
    </xf>
    <xf numFmtId="2" fontId="4" fillId="4" borderId="3" xfId="0" applyNumberFormat="1" applyFont="1" applyFill="1" applyBorder="1" applyAlignment="1">
      <alignment horizontal="center" vertical="top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/>
    </xf>
    <xf numFmtId="2" fontId="3" fillId="4" borderId="0" xfId="0" applyNumberFormat="1" applyFont="1" applyFill="1" applyAlignment="1">
      <alignment horizontal="left"/>
    </xf>
    <xf numFmtId="2" fontId="0" fillId="4" borderId="0" xfId="0" applyNumberFormat="1" applyFill="1" applyAlignment="1">
      <alignment horizontal="left"/>
    </xf>
    <xf numFmtId="0" fontId="2" fillId="4" borderId="0" xfId="0" applyNumberFormat="1" applyFont="1" applyFill="1" applyAlignment="1">
      <alignment horizontal="right"/>
    </xf>
    <xf numFmtId="0" fontId="2" fillId="4" borderId="0" xfId="0" applyNumberFormat="1" applyFont="1" applyFill="1" applyAlignment="1">
      <alignment horizontal="right"/>
    </xf>
    <xf numFmtId="2" fontId="3" fillId="3" borderId="10" xfId="1" applyNumberFormat="1" applyFont="1" applyFill="1" applyBorder="1" applyAlignment="1">
      <alignment horizontal="center" vertical="top"/>
    </xf>
    <xf numFmtId="0" fontId="0" fillId="3" borderId="0" xfId="0" applyFont="1" applyFill="1"/>
    <xf numFmtId="2" fontId="0" fillId="5" borderId="10" xfId="0" applyNumberFormat="1" applyFont="1" applyFill="1" applyBorder="1" applyAlignment="1">
      <alignment horizontal="center" vertical="top"/>
    </xf>
    <xf numFmtId="1" fontId="0" fillId="3" borderId="10" xfId="0" applyNumberFormat="1" applyFont="1" applyFill="1" applyBorder="1" applyAlignment="1">
      <alignment horizontal="center" vertical="top"/>
    </xf>
    <xf numFmtId="0" fontId="0" fillId="3" borderId="10" xfId="0" applyNumberFormat="1" applyFont="1" applyFill="1" applyBorder="1" applyAlignment="1">
      <alignment horizontal="center" vertical="center"/>
    </xf>
    <xf numFmtId="1" fontId="0" fillId="3" borderId="10" xfId="0" applyNumberFormat="1" applyFont="1" applyFill="1" applyBorder="1" applyAlignment="1">
      <alignment horizontal="center" vertical="center"/>
    </xf>
    <xf numFmtId="2" fontId="0" fillId="3" borderId="10" xfId="1" applyNumberFormat="1" applyFont="1" applyFill="1" applyBorder="1" applyAlignment="1">
      <alignment horizontal="center" vertical="top"/>
    </xf>
    <xf numFmtId="0" fontId="3" fillId="4" borderId="0" xfId="0" applyFont="1" applyFill="1"/>
    <xf numFmtId="2" fontId="2" fillId="4" borderId="2" xfId="0" applyNumberFormat="1" applyFont="1" applyFill="1" applyBorder="1" applyAlignment="1">
      <alignment horizontal="center" vertical="top"/>
    </xf>
    <xf numFmtId="182" fontId="2" fillId="4" borderId="1" xfId="0" applyNumberFormat="1" applyFont="1" applyFill="1" applyBorder="1" applyAlignment="1">
      <alignment horizontal="center" vertical="top"/>
    </xf>
    <xf numFmtId="0" fontId="3" fillId="4" borderId="3" xfId="0" applyNumberFormat="1" applyFont="1" applyFill="1" applyBorder="1" applyAlignment="1">
      <alignment horizontal="center" vertical="top"/>
    </xf>
    <xf numFmtId="182" fontId="3" fillId="4" borderId="3" xfId="0" applyNumberFormat="1" applyFont="1" applyFill="1" applyBorder="1" applyAlignment="1">
      <alignment horizontal="center" vertical="top"/>
    </xf>
    <xf numFmtId="1" fontId="3" fillId="4" borderId="3" xfId="0" applyNumberFormat="1" applyFont="1" applyFill="1" applyBorder="1" applyAlignment="1">
      <alignment horizontal="center" vertical="top"/>
    </xf>
    <xf numFmtId="2" fontId="3" fillId="4" borderId="3" xfId="0" applyNumberFormat="1" applyFont="1" applyFill="1" applyBorder="1" applyAlignment="1">
      <alignment horizontal="center" vertical="top"/>
    </xf>
    <xf numFmtId="184" fontId="3" fillId="4" borderId="3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185" fontId="3" fillId="4" borderId="3" xfId="0" applyNumberFormat="1" applyFont="1" applyFill="1" applyBorder="1" applyAlignment="1">
      <alignment horizontal="center" vertical="top"/>
    </xf>
    <xf numFmtId="0" fontId="3" fillId="4" borderId="3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/>
    <xf numFmtId="10" fontId="2" fillId="4" borderId="6" xfId="0" applyNumberFormat="1" applyFont="1" applyFill="1" applyBorder="1" applyAlignment="1">
      <alignment horizontal="center" vertical="top"/>
    </xf>
    <xf numFmtId="193" fontId="2" fillId="4" borderId="6" xfId="0" applyNumberFormat="1" applyFont="1" applyFill="1" applyBorder="1" applyAlignment="1">
      <alignment horizontal="center" vertical="top"/>
    </xf>
    <xf numFmtId="193" fontId="2" fillId="4" borderId="7" xfId="0" applyNumberFormat="1" applyFont="1" applyFill="1" applyBorder="1" applyAlignment="1">
      <alignment horizontal="center" vertical="top"/>
    </xf>
    <xf numFmtId="2" fontId="2" fillId="6" borderId="6" xfId="0" applyNumberFormat="1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top" wrapText="1"/>
    </xf>
    <xf numFmtId="10" fontId="2" fillId="4" borderId="5" xfId="0" applyNumberFormat="1" applyFont="1" applyFill="1" applyBorder="1" applyAlignment="1">
      <alignment horizontal="left"/>
    </xf>
    <xf numFmtId="10" fontId="2" fillId="4" borderId="6" xfId="0" applyNumberFormat="1" applyFont="1" applyFill="1" applyBorder="1" applyAlignment="1">
      <alignment horizontal="left"/>
    </xf>
    <xf numFmtId="10" fontId="2" fillId="4" borderId="7" xfId="0" applyNumberFormat="1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top"/>
    </xf>
    <xf numFmtId="2" fontId="3" fillId="2" borderId="3" xfId="1" applyNumberFormat="1" applyFont="1" applyFill="1" applyBorder="1" applyAlignment="1">
      <alignment horizontal="center" vertical="top"/>
    </xf>
    <xf numFmtId="0" fontId="3" fillId="2" borderId="3" xfId="1" applyNumberFormat="1" applyFont="1" applyFill="1" applyBorder="1" applyAlignment="1">
      <alignment horizontal="center" vertical="top"/>
    </xf>
    <xf numFmtId="182" fontId="3" fillId="2" borderId="3" xfId="1" applyNumberFormat="1" applyFont="1" applyFill="1" applyBorder="1" applyAlignment="1">
      <alignment horizontal="center" vertical="top"/>
    </xf>
    <xf numFmtId="184" fontId="3" fillId="2" borderId="3" xfId="1" applyNumberFormat="1" applyFont="1" applyFill="1" applyBorder="1" applyAlignment="1">
      <alignment horizontal="center" vertical="top"/>
    </xf>
    <xf numFmtId="182" fontId="0" fillId="3" borderId="10" xfId="0" applyNumberFormat="1" applyFont="1" applyFill="1" applyBorder="1" applyAlignment="1">
      <alignment horizontal="center" vertical="top"/>
    </xf>
    <xf numFmtId="0" fontId="0" fillId="3" borderId="10" xfId="1" applyNumberFormat="1" applyFont="1" applyFill="1" applyBorder="1" applyAlignment="1">
      <alignment horizontal="center" vertical="center"/>
    </xf>
    <xf numFmtId="1" fontId="0" fillId="3" borderId="10" xfId="1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left" vertical="center" wrapText="1"/>
    </xf>
    <xf numFmtId="0" fontId="3" fillId="4" borderId="7" xfId="0" applyNumberFormat="1" applyFont="1" applyFill="1" applyBorder="1" applyAlignment="1">
      <alignment horizontal="left" vertical="center" wrapText="1"/>
    </xf>
    <xf numFmtId="0" fontId="0" fillId="3" borderId="10" xfId="1" applyNumberFormat="1" applyFont="1" applyFill="1" applyBorder="1" applyAlignment="1">
      <alignment horizontal="left" vertical="center" wrapText="1"/>
    </xf>
    <xf numFmtId="10" fontId="2" fillId="4" borderId="5" xfId="0" applyNumberFormat="1" applyFont="1" applyFill="1" applyBorder="1" applyAlignment="1">
      <alignment horizontal="left"/>
    </xf>
    <xf numFmtId="10" fontId="2" fillId="4" borderId="6" xfId="0" applyNumberFormat="1" applyFont="1" applyFill="1" applyBorder="1" applyAlignment="1">
      <alignment horizontal="left"/>
    </xf>
    <xf numFmtId="10" fontId="2" fillId="4" borderId="7" xfId="0" applyNumberFormat="1" applyFont="1" applyFill="1" applyBorder="1" applyAlignment="1">
      <alignment horizontal="left"/>
    </xf>
    <xf numFmtId="0" fontId="2" fillId="4" borderId="5" xfId="0" applyFont="1" applyFill="1" applyBorder="1" applyAlignment="1">
      <alignment horizontal="left" indent="1"/>
    </xf>
    <xf numFmtId="0" fontId="2" fillId="4" borderId="6" xfId="0" applyFont="1" applyFill="1" applyBorder="1" applyAlignment="1">
      <alignment horizontal="left" indent="1"/>
    </xf>
    <xf numFmtId="0" fontId="2" fillId="4" borderId="7" xfId="0" applyFont="1" applyFill="1" applyBorder="1" applyAlignment="1">
      <alignment horizontal="left" indent="1"/>
    </xf>
    <xf numFmtId="2" fontId="2" fillId="4" borderId="5" xfId="0" applyNumberFormat="1" applyFont="1" applyFill="1" applyBorder="1" applyAlignment="1">
      <alignment horizontal="left" indent="1"/>
    </xf>
    <xf numFmtId="2" fontId="2" fillId="4" borderId="6" xfId="0" applyNumberFormat="1" applyFont="1" applyFill="1" applyBorder="1" applyAlignment="1">
      <alignment horizontal="left" indent="1"/>
    </xf>
    <xf numFmtId="2" fontId="2" fillId="4" borderId="7" xfId="0" applyNumberFormat="1" applyFont="1" applyFill="1" applyBorder="1" applyAlignment="1">
      <alignment horizontal="left" indent="1"/>
    </xf>
    <xf numFmtId="0" fontId="3" fillId="4" borderId="0" xfId="0" applyNumberFormat="1" applyFont="1" applyFill="1" applyAlignment="1">
      <alignment horizontal="center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4" borderId="14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Alignment="1">
      <alignment horizontal="right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5" xfId="1" applyNumberFormat="1" applyFont="1" applyFill="1" applyBorder="1" applyAlignment="1">
      <alignment horizontal="left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2" fontId="0" fillId="3" borderId="12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4" borderId="3" xfId="0" applyNumberFormat="1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/>
    </xf>
    <xf numFmtId="1" fontId="3" fillId="4" borderId="5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0" xfId="0" applyNumberFormat="1" applyFont="1" applyFill="1" applyAlignment="1">
      <alignment horizontal="left"/>
    </xf>
    <xf numFmtId="0" fontId="0" fillId="3" borderId="10" xfId="0" applyNumberFormat="1" applyFont="1" applyFill="1" applyBorder="1" applyAlignment="1">
      <alignment horizontal="left" vertical="center" wrapText="1"/>
    </xf>
    <xf numFmtId="0" fontId="3" fillId="4" borderId="0" xfId="0" applyNumberFormat="1" applyFont="1" applyFill="1" applyAlignment="1">
      <alignment horizontal="right"/>
    </xf>
    <xf numFmtId="0" fontId="4" fillId="4" borderId="3" xfId="0" applyFont="1" applyFill="1" applyBorder="1" applyAlignment="1">
      <alignment horizontal="right" vertical="center" wrapText="1"/>
    </xf>
  </cellXfs>
  <cellStyles count="11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Процентный 2" xfId="7"/>
    <cellStyle name="Процентный 3" xfId="8"/>
    <cellStyle name="Процентный 4" xfId="9"/>
    <cellStyle name="Процентный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5"/>
  <sheetViews>
    <sheetView tabSelected="1" view="pageBreakPreview" zoomScale="80" zoomScaleNormal="80" zoomScaleSheetLayoutView="80" workbookViewId="0">
      <selection activeCell="A21" sqref="A21"/>
    </sheetView>
  </sheetViews>
  <sheetFormatPr defaultRowHeight="11.25" x14ac:dyDescent="0.2"/>
  <cols>
    <col min="1" max="1" width="9.5" style="40" customWidth="1"/>
    <col min="2" max="2" width="16.33203125" style="40" customWidth="1"/>
    <col min="3" max="3" width="25.1640625" style="40" customWidth="1"/>
    <col min="4" max="4" width="8" style="3" customWidth="1"/>
    <col min="5" max="5" width="9.6640625" style="3" customWidth="1"/>
    <col min="6" max="6" width="9.83203125" style="61" customWidth="1"/>
    <col min="7" max="7" width="9.6640625" style="3" customWidth="1"/>
    <col min="8" max="8" width="8.5" style="3" customWidth="1"/>
    <col min="9" max="9" width="10" style="3" customWidth="1"/>
    <col min="10" max="10" width="9" style="3" customWidth="1"/>
    <col min="11" max="11" width="9.83203125" style="3" customWidth="1"/>
    <col min="12" max="12" width="8.83203125" style="3" customWidth="1"/>
    <col min="13" max="13" width="10.33203125" style="3" customWidth="1"/>
    <col min="14" max="14" width="9.5" style="3" customWidth="1"/>
    <col min="15" max="15" width="9.33203125" style="3" customWidth="1"/>
    <col min="16" max="17" width="9.1640625" style="3" customWidth="1"/>
    <col min="18" max="18" width="9" style="3" customWidth="1"/>
    <col min="19" max="19" width="9.5" style="3" customWidth="1"/>
    <col min="20" max="20" width="8.6640625" style="3" customWidth="1"/>
    <col min="21" max="21" width="9.1640625" style="13" customWidth="1"/>
    <col min="22" max="23" width="9.1640625" style="21" customWidth="1"/>
    <col min="24" max="24" width="11.6640625" style="21" customWidth="1"/>
  </cols>
  <sheetData>
    <row r="1" spans="1:25" s="1" customFormat="1" ht="11.25" customHeight="1" x14ac:dyDescent="0.2">
      <c r="A1" s="39"/>
      <c r="B1" s="39"/>
      <c r="C1" s="62"/>
      <c r="D1" s="62"/>
      <c r="E1" s="63"/>
      <c r="F1" s="60"/>
      <c r="G1" s="48"/>
      <c r="H1" s="2"/>
      <c r="I1" s="2"/>
      <c r="J1" s="48"/>
      <c r="K1" s="48"/>
      <c r="L1" s="48"/>
      <c r="M1" s="142" t="s">
        <v>39</v>
      </c>
      <c r="N1" s="142"/>
      <c r="O1" s="142"/>
      <c r="P1" s="142"/>
      <c r="Q1" s="142"/>
      <c r="R1" s="142"/>
      <c r="S1" s="142"/>
      <c r="T1" s="142"/>
      <c r="U1" s="9"/>
      <c r="V1" s="14"/>
      <c r="W1" s="14"/>
      <c r="X1" s="14"/>
    </row>
    <row r="2" spans="1:25" s="1" customFormat="1" ht="11.25" customHeight="1" x14ac:dyDescent="0.2">
      <c r="A2" s="140" t="s">
        <v>25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0"/>
      <c r="V2" s="20"/>
      <c r="W2" s="20"/>
      <c r="X2" s="20"/>
      <c r="Y2" s="38"/>
    </row>
    <row r="3" spans="1:25" s="1" customFormat="1" ht="11.25" customHeight="1" x14ac:dyDescent="0.2">
      <c r="A3" s="41" t="s">
        <v>31</v>
      </c>
      <c r="B3" s="39"/>
      <c r="C3" s="39"/>
      <c r="D3" s="2"/>
      <c r="E3" s="2"/>
      <c r="F3" s="26"/>
      <c r="G3" s="118" t="s">
        <v>26</v>
      </c>
      <c r="H3" s="118"/>
      <c r="I3" s="118"/>
      <c r="J3" s="48"/>
      <c r="K3" s="48"/>
      <c r="L3" s="125" t="s">
        <v>0</v>
      </c>
      <c r="M3" s="125"/>
      <c r="N3" s="134"/>
      <c r="O3" s="134"/>
      <c r="P3" s="134"/>
      <c r="Q3" s="134"/>
      <c r="R3" s="48"/>
      <c r="S3" s="48"/>
      <c r="T3" s="48"/>
      <c r="U3" s="11"/>
      <c r="V3" s="15"/>
      <c r="W3" s="15"/>
      <c r="X3" s="15"/>
    </row>
    <row r="4" spans="1:25" s="1" customFormat="1" ht="11.25" customHeight="1" x14ac:dyDescent="0.2">
      <c r="A4" s="39"/>
      <c r="B4" s="39"/>
      <c r="C4" s="39"/>
      <c r="D4" s="125" t="s">
        <v>1</v>
      </c>
      <c r="E4" s="125"/>
      <c r="F4" s="125"/>
      <c r="G4" s="4">
        <v>1</v>
      </c>
      <c r="H4" s="48"/>
      <c r="I4" s="2"/>
      <c r="J4" s="2"/>
      <c r="K4" s="2"/>
      <c r="L4" s="125" t="s">
        <v>2</v>
      </c>
      <c r="M4" s="125"/>
      <c r="N4" s="118" t="s">
        <v>32</v>
      </c>
      <c r="O4" s="118"/>
      <c r="P4" s="118"/>
      <c r="Q4" s="118"/>
      <c r="R4" s="118"/>
      <c r="S4" s="118"/>
      <c r="T4" s="118"/>
      <c r="U4" s="12"/>
      <c r="V4" s="16"/>
      <c r="W4" s="16"/>
      <c r="X4" s="16"/>
    </row>
    <row r="5" spans="1:25" s="1" customFormat="1" ht="21.75" customHeight="1" x14ac:dyDescent="0.2">
      <c r="A5" s="119" t="s">
        <v>3</v>
      </c>
      <c r="B5" s="121" t="s">
        <v>4</v>
      </c>
      <c r="C5" s="122"/>
      <c r="D5" s="119" t="s">
        <v>5</v>
      </c>
      <c r="E5" s="96"/>
      <c r="F5" s="126" t="s">
        <v>6</v>
      </c>
      <c r="G5" s="127"/>
      <c r="H5" s="128"/>
      <c r="I5" s="119" t="s">
        <v>7</v>
      </c>
      <c r="J5" s="126" t="s">
        <v>8</v>
      </c>
      <c r="K5" s="127"/>
      <c r="L5" s="127"/>
      <c r="M5" s="127"/>
      <c r="N5" s="128"/>
      <c r="O5" s="126" t="s">
        <v>9</v>
      </c>
      <c r="P5" s="127"/>
      <c r="Q5" s="127"/>
      <c r="R5" s="127"/>
      <c r="S5" s="127"/>
      <c r="T5" s="128"/>
      <c r="U5" s="6"/>
      <c r="V5" s="17"/>
      <c r="W5" s="17"/>
      <c r="X5" s="17"/>
    </row>
    <row r="6" spans="1:25" s="1" customFormat="1" ht="21" customHeight="1" x14ac:dyDescent="0.2">
      <c r="A6" s="120"/>
      <c r="B6" s="123"/>
      <c r="C6" s="124"/>
      <c r="D6" s="120"/>
      <c r="E6" s="89"/>
      <c r="F6" s="58" t="s">
        <v>10</v>
      </c>
      <c r="G6" s="90" t="s">
        <v>11</v>
      </c>
      <c r="H6" s="90" t="s">
        <v>12</v>
      </c>
      <c r="I6" s="120"/>
      <c r="J6" s="90" t="s">
        <v>13</v>
      </c>
      <c r="K6" s="90" t="s">
        <v>33</v>
      </c>
      <c r="L6" s="90" t="s">
        <v>14</v>
      </c>
      <c r="M6" s="90" t="s">
        <v>15</v>
      </c>
      <c r="N6" s="90" t="s">
        <v>16</v>
      </c>
      <c r="O6" s="90" t="s">
        <v>17</v>
      </c>
      <c r="P6" s="90" t="s">
        <v>18</v>
      </c>
      <c r="Q6" s="90" t="s">
        <v>34</v>
      </c>
      <c r="R6" s="90" t="s">
        <v>35</v>
      </c>
      <c r="S6" s="90" t="s">
        <v>19</v>
      </c>
      <c r="T6" s="90" t="s">
        <v>20</v>
      </c>
      <c r="U6" s="6"/>
      <c r="V6" s="17"/>
      <c r="W6" s="17"/>
      <c r="X6" s="17"/>
    </row>
    <row r="7" spans="1:25" s="1" customFormat="1" ht="11.25" customHeight="1" x14ac:dyDescent="0.2">
      <c r="A7" s="95">
        <v>1</v>
      </c>
      <c r="B7" s="135">
        <v>2</v>
      </c>
      <c r="C7" s="136"/>
      <c r="D7" s="27">
        <v>3</v>
      </c>
      <c r="E7" s="27"/>
      <c r="F7" s="59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27">
        <v>12</v>
      </c>
      <c r="O7" s="27">
        <v>13</v>
      </c>
      <c r="P7" s="27">
        <v>14</v>
      </c>
      <c r="Q7" s="27">
        <v>15</v>
      </c>
      <c r="R7" s="27">
        <v>16</v>
      </c>
      <c r="S7" s="27">
        <v>17</v>
      </c>
      <c r="T7" s="27">
        <v>18</v>
      </c>
      <c r="U7" s="7"/>
      <c r="V7" s="18"/>
      <c r="W7" s="18"/>
      <c r="X7" s="18"/>
    </row>
    <row r="8" spans="1:25" s="1" customFormat="1" ht="11.25" customHeight="1" x14ac:dyDescent="0.2">
      <c r="A8" s="115" t="e">
        <f>#REF!</f>
        <v>#REF!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7"/>
      <c r="U8" s="8"/>
      <c r="V8" s="19"/>
      <c r="W8" s="19"/>
      <c r="X8" s="19"/>
    </row>
    <row r="9" spans="1:25" s="65" customFormat="1" ht="11.25" customHeight="1" x14ac:dyDescent="0.2">
      <c r="A9" s="68" t="s">
        <v>40</v>
      </c>
      <c r="B9" s="141" t="s">
        <v>46</v>
      </c>
      <c r="C9" s="141"/>
      <c r="D9" s="67">
        <v>25</v>
      </c>
      <c r="E9" s="66">
        <v>6.4</v>
      </c>
      <c r="F9" s="66">
        <v>1.25</v>
      </c>
      <c r="G9" s="66"/>
      <c r="H9" s="66">
        <v>9.5</v>
      </c>
      <c r="I9" s="66">
        <v>43</v>
      </c>
      <c r="J9" s="66">
        <v>8.0000000000000002E-3</v>
      </c>
      <c r="K9" s="66">
        <v>7.0000000000000001E-3</v>
      </c>
      <c r="L9" s="66">
        <v>0.16</v>
      </c>
      <c r="M9" s="66">
        <v>8.0000000000000002E-3</v>
      </c>
      <c r="N9" s="66">
        <v>0.03</v>
      </c>
      <c r="O9" s="66">
        <v>51.16</v>
      </c>
      <c r="P9" s="66">
        <v>36.5</v>
      </c>
      <c r="Q9" s="66">
        <v>0.16</v>
      </c>
      <c r="R9" s="66">
        <v>2E-3</v>
      </c>
      <c r="S9" s="66">
        <v>5.66</v>
      </c>
      <c r="T9" s="66">
        <v>0.03</v>
      </c>
    </row>
    <row r="10" spans="1:25" s="65" customFormat="1" ht="21" customHeight="1" x14ac:dyDescent="0.2">
      <c r="A10" s="69">
        <v>222</v>
      </c>
      <c r="B10" s="131" t="s">
        <v>45</v>
      </c>
      <c r="C10" s="132"/>
      <c r="D10" s="67">
        <v>170</v>
      </c>
      <c r="E10" s="66">
        <v>46.22</v>
      </c>
      <c r="F10" s="70">
        <v>14.92</v>
      </c>
      <c r="G10" s="70">
        <v>14.38</v>
      </c>
      <c r="H10" s="70">
        <v>31.51</v>
      </c>
      <c r="I10" s="70">
        <v>315.14</v>
      </c>
      <c r="J10" s="70">
        <v>0.26</v>
      </c>
      <c r="K10" s="70">
        <v>0.40799999999999997</v>
      </c>
      <c r="L10" s="70">
        <v>0.93500000000000005</v>
      </c>
      <c r="M10" s="70">
        <v>0.21299999999999999</v>
      </c>
      <c r="N10" s="70">
        <v>1.36</v>
      </c>
      <c r="O10" s="70">
        <v>215.96</v>
      </c>
      <c r="P10" s="70">
        <v>414.6</v>
      </c>
      <c r="Q10" s="70">
        <v>1.2</v>
      </c>
      <c r="R10" s="70">
        <v>0.02</v>
      </c>
      <c r="S10" s="70">
        <v>93.882999999999996</v>
      </c>
      <c r="T10" s="70">
        <v>2.5329999999999999</v>
      </c>
    </row>
    <row r="11" spans="1:25" s="71" customFormat="1" ht="11.25" customHeight="1" x14ac:dyDescent="0.2">
      <c r="A11" s="95">
        <v>382</v>
      </c>
      <c r="B11" s="106" t="s">
        <v>43</v>
      </c>
      <c r="C11" s="107"/>
      <c r="D11" s="76">
        <v>200</v>
      </c>
      <c r="E11" s="77">
        <v>14.3</v>
      </c>
      <c r="F11" s="77">
        <f>3.5*D11/200</f>
        <v>3.5</v>
      </c>
      <c r="G11" s="77">
        <f>3.7*D11/200</f>
        <v>3.7</v>
      </c>
      <c r="H11" s="77">
        <f>25.5*D11/200</f>
        <v>25.5</v>
      </c>
      <c r="I11" s="77">
        <f>F11*4+G11*9+H11*4</f>
        <v>149.30000000000001</v>
      </c>
      <c r="J11" s="77">
        <f>0.06*D11/200</f>
        <v>0.06</v>
      </c>
      <c r="K11" s="77">
        <f>0.006*D11/200</f>
        <v>6.0000000000000001E-3</v>
      </c>
      <c r="L11" s="77">
        <f>1.6*D11/200</f>
        <v>1.6</v>
      </c>
      <c r="M11" s="78">
        <f>0.04*D11/200</f>
        <v>0.04</v>
      </c>
      <c r="N11" s="77">
        <f>0.4*D11/200</f>
        <v>0.4</v>
      </c>
      <c r="O11" s="77">
        <f>102.6*D11/200</f>
        <v>102.6</v>
      </c>
      <c r="P11" s="77">
        <f>178.4*D11/200</f>
        <v>178.4</v>
      </c>
      <c r="Q11" s="77">
        <f>1*D11/200</f>
        <v>1</v>
      </c>
      <c r="R11" s="78">
        <f>0.001*D11/200</f>
        <v>1E-3</v>
      </c>
      <c r="S11" s="77">
        <f>24.8*D11/200</f>
        <v>24.8</v>
      </c>
      <c r="T11" s="77">
        <f>0.48*D11/200</f>
        <v>0.48</v>
      </c>
      <c r="U11" s="79"/>
      <c r="V11" s="80"/>
      <c r="W11" s="80"/>
      <c r="X11" s="80"/>
    </row>
    <row r="12" spans="1:25" s="71" customFormat="1" ht="12.75" customHeight="1" x14ac:dyDescent="0.2">
      <c r="A12" s="82" t="s">
        <v>40</v>
      </c>
      <c r="B12" s="106" t="s">
        <v>29</v>
      </c>
      <c r="C12" s="107"/>
      <c r="D12" s="76">
        <v>40</v>
      </c>
      <c r="E12" s="77">
        <v>3.08</v>
      </c>
      <c r="F12" s="77">
        <f>1.52*D12/30</f>
        <v>2.0266666666666664</v>
      </c>
      <c r="G12" s="78">
        <f>0.16*D12/30</f>
        <v>0.21333333333333335</v>
      </c>
      <c r="H12" s="78">
        <f>9.84*D12/30</f>
        <v>13.120000000000001</v>
      </c>
      <c r="I12" s="78">
        <f>F12*4+G12*9+H12*4</f>
        <v>62.506666666666668</v>
      </c>
      <c r="J12" s="78">
        <f>0.02*D12/30</f>
        <v>2.6666666666666668E-2</v>
      </c>
      <c r="K12" s="78">
        <f>0.01*D12/30</f>
        <v>1.3333333333333334E-2</v>
      </c>
      <c r="L12" s="78">
        <f>0.44*D12/30</f>
        <v>0.58666666666666667</v>
      </c>
      <c r="M12" s="78">
        <v>0</v>
      </c>
      <c r="N12" s="78">
        <f>0.7*D12/30</f>
        <v>0.93333333333333335</v>
      </c>
      <c r="O12" s="78">
        <f>4*D12/30</f>
        <v>5.333333333333333</v>
      </c>
      <c r="P12" s="78">
        <f>13*D12/30</f>
        <v>17.333333333333332</v>
      </c>
      <c r="Q12" s="78">
        <f>0.008*D12/30</f>
        <v>1.0666666666666666E-2</v>
      </c>
      <c r="R12" s="78">
        <f>0.001*D12/30</f>
        <v>1.3333333333333333E-3</v>
      </c>
      <c r="S12" s="78">
        <v>0</v>
      </c>
      <c r="T12" s="78">
        <f>0.22*D12/30</f>
        <v>0.29333333333333333</v>
      </c>
      <c r="U12" s="79"/>
      <c r="V12" s="80"/>
      <c r="W12" s="80"/>
      <c r="X12" s="80"/>
    </row>
    <row r="13" spans="1:25" s="71" customFormat="1" ht="14.25" customHeight="1" x14ac:dyDescent="0.2">
      <c r="A13" s="44" t="e">
        <f>#REF!</f>
        <v>#REF!</v>
      </c>
      <c r="B13" s="45"/>
      <c r="C13" s="45"/>
      <c r="D13" s="46">
        <f t="shared" ref="D13:T13" si="0">SUM(D9:D12)</f>
        <v>435</v>
      </c>
      <c r="E13" s="83">
        <f t="shared" si="0"/>
        <v>70</v>
      </c>
      <c r="F13" s="29">
        <f t="shared" si="0"/>
        <v>21.696666666666669</v>
      </c>
      <c r="G13" s="28">
        <f t="shared" si="0"/>
        <v>18.293333333333337</v>
      </c>
      <c r="H13" s="35">
        <f t="shared" si="0"/>
        <v>79.63000000000001</v>
      </c>
      <c r="I13" s="28">
        <f t="shared" si="0"/>
        <v>569.94666666666672</v>
      </c>
      <c r="J13" s="29">
        <f t="shared" si="0"/>
        <v>0.35466666666666669</v>
      </c>
      <c r="K13" s="29">
        <f t="shared" si="0"/>
        <v>0.43433333333333329</v>
      </c>
      <c r="L13" s="29">
        <f t="shared" si="0"/>
        <v>3.2816666666666672</v>
      </c>
      <c r="M13" s="29">
        <f t="shared" si="0"/>
        <v>0.26100000000000001</v>
      </c>
      <c r="N13" s="30">
        <f t="shared" si="0"/>
        <v>2.7233333333333336</v>
      </c>
      <c r="O13" s="29">
        <f t="shared" si="0"/>
        <v>375.05333333333334</v>
      </c>
      <c r="P13" s="29">
        <f t="shared" si="0"/>
        <v>646.83333333333337</v>
      </c>
      <c r="Q13" s="29">
        <f t="shared" si="0"/>
        <v>2.3706666666666667</v>
      </c>
      <c r="R13" s="30">
        <f t="shared" si="0"/>
        <v>2.4333333333333332E-2</v>
      </c>
      <c r="S13" s="29">
        <f t="shared" si="0"/>
        <v>124.34299999999999</v>
      </c>
      <c r="T13" s="29">
        <f t="shared" si="0"/>
        <v>3.3363333333333332</v>
      </c>
      <c r="U13" s="28"/>
      <c r="V13" s="72"/>
      <c r="W13" s="72"/>
      <c r="X13" s="72"/>
    </row>
    <row r="14" spans="1:25" s="71" customFormat="1" ht="14.25" customHeight="1" x14ac:dyDescent="0.2">
      <c r="A14" s="109" t="s">
        <v>37</v>
      </c>
      <c r="B14" s="110"/>
      <c r="C14" s="110"/>
      <c r="D14" s="111"/>
      <c r="E14" s="94"/>
      <c r="F14" s="49">
        <f t="shared" ref="F14:T14" si="1">F13/F33</f>
        <v>0.24107407407407411</v>
      </c>
      <c r="G14" s="49">
        <f t="shared" si="1"/>
        <v>0.19884057971014496</v>
      </c>
      <c r="H14" s="49">
        <f t="shared" si="1"/>
        <v>0.20791122715404703</v>
      </c>
      <c r="I14" s="49">
        <f t="shared" si="1"/>
        <v>0.20953921568627454</v>
      </c>
      <c r="J14" s="49">
        <f t="shared" si="1"/>
        <v>0.25333333333333335</v>
      </c>
      <c r="K14" s="49">
        <f t="shared" si="1"/>
        <v>0.2714583333333333</v>
      </c>
      <c r="L14" s="49">
        <f t="shared" si="1"/>
        <v>4.6880952380952391E-2</v>
      </c>
      <c r="M14" s="49">
        <f t="shared" si="1"/>
        <v>0.28999999999999998</v>
      </c>
      <c r="N14" s="49">
        <f t="shared" si="1"/>
        <v>0.22694444444444448</v>
      </c>
      <c r="O14" s="33">
        <f t="shared" si="1"/>
        <v>0.31254444444444446</v>
      </c>
      <c r="P14" s="49">
        <f t="shared" si="1"/>
        <v>0.53902777777777777</v>
      </c>
      <c r="Q14" s="49">
        <f t="shared" si="1"/>
        <v>0.16933333333333334</v>
      </c>
      <c r="R14" s="49">
        <f t="shared" si="1"/>
        <v>0.24333333333333332</v>
      </c>
      <c r="S14" s="49">
        <f t="shared" si="1"/>
        <v>0.4144766666666666</v>
      </c>
      <c r="T14" s="33">
        <f t="shared" si="1"/>
        <v>0.18535185185185185</v>
      </c>
      <c r="U14" s="73"/>
      <c r="V14" s="72"/>
      <c r="W14" s="72"/>
      <c r="X14" s="72"/>
    </row>
    <row r="15" spans="1:25" s="71" customFormat="1" ht="11.25" customHeight="1" x14ac:dyDescent="0.2">
      <c r="A15" s="112" t="s">
        <v>21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4"/>
      <c r="U15" s="8"/>
      <c r="V15" s="19"/>
      <c r="W15" s="19"/>
      <c r="X15" s="19"/>
    </row>
    <row r="16" spans="1:25" s="71" customFormat="1" ht="11.25" hidden="1" customHeight="1" x14ac:dyDescent="0.2">
      <c r="A16" s="53" t="s">
        <v>42</v>
      </c>
      <c r="B16" s="143" t="s">
        <v>41</v>
      </c>
      <c r="C16" s="143"/>
      <c r="D16" s="53"/>
      <c r="E16" s="53"/>
      <c r="F16" s="56">
        <f>0.77*D16/60</f>
        <v>0</v>
      </c>
      <c r="G16" s="53">
        <f>2.04*D16/60</f>
        <v>0</v>
      </c>
      <c r="H16" s="55">
        <f>2.26*D16/60</f>
        <v>0</v>
      </c>
      <c r="I16" s="57">
        <f>F16*4+G16*9+H16*4</f>
        <v>0</v>
      </c>
      <c r="J16" s="55">
        <f>0.02*D16/60</f>
        <v>0</v>
      </c>
      <c r="K16" s="55">
        <f>0.02*D16/60</f>
        <v>0</v>
      </c>
      <c r="L16" s="53">
        <f>19.95*D16/60</f>
        <v>0</v>
      </c>
      <c r="M16" s="55">
        <f>0.01*D16/60</f>
        <v>0</v>
      </c>
      <c r="N16" s="55">
        <f>0.0787*D16/60</f>
        <v>0</v>
      </c>
      <c r="O16" s="56">
        <f>25.7*D16/60</f>
        <v>0</v>
      </c>
      <c r="P16" s="54">
        <f>13.62*D16/60</f>
        <v>0</v>
      </c>
      <c r="Q16" s="55">
        <f>0.17*D16/60</f>
        <v>0</v>
      </c>
      <c r="R16" s="53">
        <f>0.03*D16/60</f>
        <v>0</v>
      </c>
      <c r="S16" s="56">
        <f>9*D16/60</f>
        <v>0</v>
      </c>
      <c r="T16" s="56">
        <f>0.28*D16/60</f>
        <v>0</v>
      </c>
      <c r="U16" s="8"/>
      <c r="V16" s="19"/>
      <c r="W16" s="19"/>
      <c r="X16" s="19"/>
    </row>
    <row r="17" spans="1:24" s="71" customFormat="1" ht="13.5" customHeight="1" x14ac:dyDescent="0.2">
      <c r="A17" s="82">
        <v>52</v>
      </c>
      <c r="B17" s="106" t="s">
        <v>30</v>
      </c>
      <c r="C17" s="107"/>
      <c r="D17" s="76">
        <v>100</v>
      </c>
      <c r="E17" s="77">
        <v>8.32</v>
      </c>
      <c r="F17" s="77">
        <f>0.86*D17/60</f>
        <v>1.4333333333333333</v>
      </c>
      <c r="G17" s="77">
        <f>3.05*D17/60</f>
        <v>5.083333333333333</v>
      </c>
      <c r="H17" s="77">
        <f>5.13*D17/60</f>
        <v>8.5500000000000007</v>
      </c>
      <c r="I17" s="77">
        <f>F17*4+G17*9+H17*4</f>
        <v>85.683333333333337</v>
      </c>
      <c r="J17" s="77">
        <f>0.01*D17/60</f>
        <v>1.6666666666666666E-2</v>
      </c>
      <c r="K17" s="77">
        <f>0.02*D17/60</f>
        <v>3.3333333333333333E-2</v>
      </c>
      <c r="L17" s="75">
        <f>5.7*D17/60</f>
        <v>9.5</v>
      </c>
      <c r="M17" s="77">
        <f>0.01*D17/60</f>
        <v>1.6666666666666666E-2</v>
      </c>
      <c r="N17" s="77">
        <f>0.1*D17/60</f>
        <v>0.16666666666666666</v>
      </c>
      <c r="O17" s="77">
        <f>26.61*D17/60</f>
        <v>44.35</v>
      </c>
      <c r="P17" s="77">
        <f>25.64*D17/60</f>
        <v>42.733333333333334</v>
      </c>
      <c r="Q17" s="77">
        <f>0.43*D17/60</f>
        <v>0.71666666666666667</v>
      </c>
      <c r="R17" s="78">
        <f>0.01*D17/60</f>
        <v>1.6666666666666666E-2</v>
      </c>
      <c r="S17" s="75">
        <f>12.87*D17/60</f>
        <v>21.45</v>
      </c>
      <c r="T17" s="77">
        <f>0.84*D17/60</f>
        <v>1.4</v>
      </c>
      <c r="U17" s="79"/>
      <c r="V17" s="80"/>
      <c r="W17" s="80"/>
      <c r="X17" s="80"/>
    </row>
    <row r="18" spans="1:24" s="71" customFormat="1" ht="22.5" customHeight="1" x14ac:dyDescent="0.2">
      <c r="A18" s="95">
        <v>82</v>
      </c>
      <c r="B18" s="106" t="s">
        <v>47</v>
      </c>
      <c r="C18" s="107"/>
      <c r="D18" s="74">
        <v>250</v>
      </c>
      <c r="E18" s="74">
        <v>13.62</v>
      </c>
      <c r="F18" s="77">
        <v>2.4300000000000002</v>
      </c>
      <c r="G18" s="77">
        <v>3.12</v>
      </c>
      <c r="H18" s="77">
        <v>12.01</v>
      </c>
      <c r="I18" s="77">
        <f t="shared" ref="I18:I23" si="2">F18*4+G18*9+H18*4</f>
        <v>85.84</v>
      </c>
      <c r="J18" s="74">
        <v>6.4000000000000001E-2</v>
      </c>
      <c r="K18" s="74">
        <v>6.4000000000000001E-2</v>
      </c>
      <c r="L18" s="77">
        <v>20.98</v>
      </c>
      <c r="M18" s="78">
        <v>7.5999999999999998E-2</v>
      </c>
      <c r="N18" s="77">
        <v>0.25700000000000001</v>
      </c>
      <c r="O18" s="77">
        <v>49.59</v>
      </c>
      <c r="P18" s="77">
        <v>58.68</v>
      </c>
      <c r="Q18" s="77">
        <v>0.746</v>
      </c>
      <c r="R18" s="78">
        <v>1.0999999999999999E-2</v>
      </c>
      <c r="S18" s="77">
        <v>25.43</v>
      </c>
      <c r="T18" s="77">
        <v>1.32</v>
      </c>
      <c r="U18" s="79"/>
      <c r="V18" s="80"/>
      <c r="W18" s="80"/>
      <c r="X18" s="80"/>
    </row>
    <row r="19" spans="1:24" s="71" customFormat="1" ht="21.75" customHeight="1" x14ac:dyDescent="0.2">
      <c r="A19" s="47">
        <v>268</v>
      </c>
      <c r="B19" s="106" t="s">
        <v>44</v>
      </c>
      <c r="C19" s="107"/>
      <c r="D19" s="51">
        <v>100</v>
      </c>
      <c r="E19" s="51">
        <v>47.22</v>
      </c>
      <c r="F19" s="91">
        <f>14.8*D19/80</f>
        <v>18.5</v>
      </c>
      <c r="G19" s="91">
        <f>20.69*D19/80</f>
        <v>25.862500000000001</v>
      </c>
      <c r="H19" s="91">
        <f>3.81*D19/80</f>
        <v>4.7625000000000002</v>
      </c>
      <c r="I19" s="91">
        <f t="shared" si="2"/>
        <v>325.81250000000006</v>
      </c>
      <c r="J19" s="52">
        <f>0.18*D19/80</f>
        <v>0.22500000000000001</v>
      </c>
      <c r="K19" s="91">
        <f>0.12*D19/80</f>
        <v>0.15</v>
      </c>
      <c r="L19" s="91">
        <f>0.43*D19/80</f>
        <v>0.53749999999999998</v>
      </c>
      <c r="M19" s="52">
        <f>0.04*D19/80</f>
        <v>0.05</v>
      </c>
      <c r="N19" s="52">
        <f>0.01*D19/80</f>
        <v>1.2500000000000001E-2</v>
      </c>
      <c r="O19" s="91">
        <f>48.45*D19/80</f>
        <v>60.5625</v>
      </c>
      <c r="P19" s="91">
        <f>177.9*D19/80</f>
        <v>222.375</v>
      </c>
      <c r="Q19" s="52">
        <f>2.28*D19/80</f>
        <v>2.8499999999999996</v>
      </c>
      <c r="R19" s="52">
        <f>0.04*D19/80</f>
        <v>0.05</v>
      </c>
      <c r="S19" s="91">
        <f>24.45*D19/80</f>
        <v>30.5625</v>
      </c>
      <c r="T19" s="91">
        <f>1.93*D19/80</f>
        <v>2.4125000000000001</v>
      </c>
      <c r="U19" s="24"/>
      <c r="V19" s="25"/>
      <c r="W19" s="25"/>
      <c r="X19" s="25"/>
    </row>
    <row r="20" spans="1:24" s="71" customFormat="1" ht="19.5" customHeight="1" x14ac:dyDescent="0.2">
      <c r="A20" s="95">
        <v>304</v>
      </c>
      <c r="B20" s="133" t="s">
        <v>48</v>
      </c>
      <c r="C20" s="133"/>
      <c r="D20" s="76">
        <v>180</v>
      </c>
      <c r="E20" s="77">
        <v>8.1999999999999993</v>
      </c>
      <c r="F20" s="77">
        <v>4.4400000000000004</v>
      </c>
      <c r="G20" s="77">
        <v>6.44</v>
      </c>
      <c r="H20" s="77">
        <v>44.01</v>
      </c>
      <c r="I20" s="77">
        <v>251.82</v>
      </c>
      <c r="J20" s="77">
        <v>3.5999999999999997E-2</v>
      </c>
      <c r="K20" s="74">
        <v>2.4E-2</v>
      </c>
      <c r="L20" s="77">
        <v>0</v>
      </c>
      <c r="M20" s="74">
        <v>4.8000000000000001E-2</v>
      </c>
      <c r="N20" s="75">
        <v>0</v>
      </c>
      <c r="O20" s="75">
        <v>17.93</v>
      </c>
      <c r="P20" s="76">
        <v>95.25</v>
      </c>
      <c r="Q20" s="81">
        <v>0</v>
      </c>
      <c r="R20" s="75">
        <v>1E-3</v>
      </c>
      <c r="S20" s="77">
        <v>33.47</v>
      </c>
      <c r="T20" s="79">
        <v>0.70799999999999996</v>
      </c>
      <c r="U20" s="80"/>
      <c r="V20" s="80"/>
      <c r="W20" s="80"/>
      <c r="X20" s="80"/>
    </row>
    <row r="21" spans="1:24" x14ac:dyDescent="0.2">
      <c r="A21" s="97">
        <v>699</v>
      </c>
      <c r="B21" s="129" t="s">
        <v>49</v>
      </c>
      <c r="C21" s="130"/>
      <c r="D21" s="98">
        <v>200</v>
      </c>
      <c r="E21" s="99">
        <v>7.5</v>
      </c>
      <c r="F21" s="99">
        <v>0.1</v>
      </c>
      <c r="G21" s="100">
        <v>0</v>
      </c>
      <c r="H21" s="101">
        <v>15.7</v>
      </c>
      <c r="I21" s="99">
        <v>63.2</v>
      </c>
      <c r="J21" s="100">
        <v>1.7999999999999999E-2</v>
      </c>
      <c r="K21" s="100">
        <v>1.2E-2</v>
      </c>
      <c r="L21" s="101">
        <v>8</v>
      </c>
      <c r="M21" s="100">
        <v>0</v>
      </c>
      <c r="N21" s="99">
        <v>0.2</v>
      </c>
      <c r="O21" s="99">
        <v>10.8</v>
      </c>
      <c r="P21" s="99">
        <v>1.7</v>
      </c>
      <c r="Q21" s="99">
        <v>0</v>
      </c>
      <c r="R21" s="102">
        <v>0</v>
      </c>
      <c r="S21" s="99">
        <v>5.8</v>
      </c>
      <c r="T21" s="99">
        <v>1.6</v>
      </c>
      <c r="U21"/>
      <c r="V21"/>
      <c r="W21"/>
      <c r="X21"/>
    </row>
    <row r="22" spans="1:24" s="71" customFormat="1" ht="11.25" customHeight="1" x14ac:dyDescent="0.2">
      <c r="A22" s="50" t="s">
        <v>40</v>
      </c>
      <c r="B22" s="106" t="s">
        <v>28</v>
      </c>
      <c r="C22" s="107"/>
      <c r="D22" s="76">
        <v>40</v>
      </c>
      <c r="E22" s="77">
        <v>2.04</v>
      </c>
      <c r="F22" s="77">
        <f>2.64*D22/40</f>
        <v>2.64</v>
      </c>
      <c r="G22" s="77">
        <f>0.48*D22/40</f>
        <v>0.48</v>
      </c>
      <c r="H22" s="77">
        <f>13.68*D22/40</f>
        <v>13.680000000000001</v>
      </c>
      <c r="I22" s="77">
        <f t="shared" si="2"/>
        <v>69.600000000000009</v>
      </c>
      <c r="J22" s="74">
        <f>0.08*D22/40</f>
        <v>0.08</v>
      </c>
      <c r="K22" s="77">
        <f>0.04*D22/40</f>
        <v>0.04</v>
      </c>
      <c r="L22" s="76">
        <v>0</v>
      </c>
      <c r="M22" s="76">
        <v>0</v>
      </c>
      <c r="N22" s="77">
        <f>2.4*D22/40</f>
        <v>2.4</v>
      </c>
      <c r="O22" s="77">
        <f>14*D22/40</f>
        <v>14</v>
      </c>
      <c r="P22" s="77">
        <f>63.2*D22/40</f>
        <v>63.2</v>
      </c>
      <c r="Q22" s="77">
        <f>1.2*D22/40</f>
        <v>1.2</v>
      </c>
      <c r="R22" s="78">
        <f>0.001*D22/40</f>
        <v>1E-3</v>
      </c>
      <c r="S22" s="77">
        <f>9.4*D22/40</f>
        <v>9.4</v>
      </c>
      <c r="T22" s="74">
        <f>0.78*D22/40</f>
        <v>0.78</v>
      </c>
      <c r="U22" s="22"/>
      <c r="V22" s="23"/>
      <c r="W22" s="23"/>
      <c r="X22" s="23"/>
    </row>
    <row r="23" spans="1:24" s="71" customFormat="1" ht="11.25" customHeight="1" x14ac:dyDescent="0.2">
      <c r="A23" s="82" t="s">
        <v>40</v>
      </c>
      <c r="B23" s="106" t="s">
        <v>29</v>
      </c>
      <c r="C23" s="107"/>
      <c r="D23" s="76">
        <v>40</v>
      </c>
      <c r="E23" s="77">
        <v>3.1</v>
      </c>
      <c r="F23" s="77">
        <f>1.52*D23/30</f>
        <v>2.0266666666666664</v>
      </c>
      <c r="G23" s="78">
        <f>0.16*D23/30</f>
        <v>0.21333333333333335</v>
      </c>
      <c r="H23" s="78">
        <f>9.84*D23/30</f>
        <v>13.120000000000001</v>
      </c>
      <c r="I23" s="78">
        <f t="shared" si="2"/>
        <v>62.506666666666668</v>
      </c>
      <c r="J23" s="78">
        <f>0.02*D23/30</f>
        <v>2.6666666666666668E-2</v>
      </c>
      <c r="K23" s="78">
        <f>0.01*D23/30</f>
        <v>1.3333333333333334E-2</v>
      </c>
      <c r="L23" s="78">
        <f>0.44*D23/30</f>
        <v>0.58666666666666667</v>
      </c>
      <c r="M23" s="78">
        <v>0</v>
      </c>
      <c r="N23" s="78">
        <f>0.7*D23/30</f>
        <v>0.93333333333333335</v>
      </c>
      <c r="O23" s="78">
        <f>4*D23/30</f>
        <v>5.333333333333333</v>
      </c>
      <c r="P23" s="78">
        <f>13*D23/30</f>
        <v>17.333333333333332</v>
      </c>
      <c r="Q23" s="78">
        <f>0.008*D23/30</f>
        <v>1.0666666666666666E-2</v>
      </c>
      <c r="R23" s="78">
        <f>0.001*D23/30</f>
        <v>1.3333333333333333E-3</v>
      </c>
      <c r="S23" s="78">
        <v>0</v>
      </c>
      <c r="T23" s="78">
        <f>0.22*D23/30</f>
        <v>0.29333333333333333</v>
      </c>
      <c r="U23" s="79"/>
      <c r="V23" s="80"/>
      <c r="W23" s="80"/>
      <c r="X23" s="80"/>
    </row>
    <row r="24" spans="1:24" s="71" customFormat="1" ht="11.25" customHeight="1" x14ac:dyDescent="0.2">
      <c r="A24" s="42" t="s">
        <v>22</v>
      </c>
      <c r="B24" s="43"/>
      <c r="C24" s="43"/>
      <c r="D24" s="46">
        <f t="shared" ref="D24:I24" si="3">SUM(D17:D23)</f>
        <v>910</v>
      </c>
      <c r="E24" s="83">
        <f t="shared" si="3"/>
        <v>90</v>
      </c>
      <c r="F24" s="29">
        <f t="shared" si="3"/>
        <v>31.570000000000004</v>
      </c>
      <c r="G24" s="28">
        <f t="shared" si="3"/>
        <v>41.199166666666656</v>
      </c>
      <c r="H24" s="28">
        <f t="shared" si="3"/>
        <v>111.83250000000001</v>
      </c>
      <c r="I24" s="28">
        <f t="shared" si="3"/>
        <v>944.4625000000002</v>
      </c>
      <c r="J24" s="29">
        <f t="shared" ref="J24:S24" si="4">SUM(J17:J23)</f>
        <v>0.46633333333333332</v>
      </c>
      <c r="K24" s="29">
        <f t="shared" si="4"/>
        <v>0.33666666666666661</v>
      </c>
      <c r="L24" s="28">
        <f t="shared" si="4"/>
        <v>39.604166666666664</v>
      </c>
      <c r="M24" s="29">
        <f t="shared" si="4"/>
        <v>0.19066666666666665</v>
      </c>
      <c r="N24" s="32">
        <f t="shared" si="4"/>
        <v>3.9695</v>
      </c>
      <c r="O24" s="28">
        <f t="shared" si="4"/>
        <v>202.56583333333336</v>
      </c>
      <c r="P24" s="29">
        <f t="shared" si="4"/>
        <v>501.27166666666659</v>
      </c>
      <c r="Q24" s="28">
        <f t="shared" si="4"/>
        <v>5.5233333333333334</v>
      </c>
      <c r="R24" s="30">
        <f t="shared" si="4"/>
        <v>8.1000000000000003E-2</v>
      </c>
      <c r="S24" s="35">
        <f t="shared" si="4"/>
        <v>126.1125</v>
      </c>
      <c r="T24" s="29">
        <f>SUM(T17:T23)</f>
        <v>8.5138333333333325</v>
      </c>
      <c r="U24" s="28"/>
      <c r="V24" s="72"/>
      <c r="W24" s="72"/>
      <c r="X24" s="72"/>
    </row>
    <row r="25" spans="1:24" s="71" customFormat="1" ht="11.25" customHeight="1" x14ac:dyDescent="0.2">
      <c r="A25" s="109" t="s">
        <v>37</v>
      </c>
      <c r="B25" s="110"/>
      <c r="C25" s="110"/>
      <c r="D25" s="111"/>
      <c r="E25" s="93"/>
      <c r="F25" s="84">
        <f t="shared" ref="F25:T25" si="5">F24/F33</f>
        <v>0.3507777777777778</v>
      </c>
      <c r="G25" s="49">
        <f t="shared" si="5"/>
        <v>0.44781702898550713</v>
      </c>
      <c r="H25" s="49">
        <f t="shared" si="5"/>
        <v>0.291990861618799</v>
      </c>
      <c r="I25" s="49">
        <f t="shared" si="5"/>
        <v>0.3472288602941177</v>
      </c>
      <c r="J25" s="49">
        <f t="shared" si="5"/>
        <v>0.33309523809523811</v>
      </c>
      <c r="K25" s="49">
        <f t="shared" si="5"/>
        <v>0.21041666666666661</v>
      </c>
      <c r="L25" s="49">
        <f t="shared" si="5"/>
        <v>0.56577380952380951</v>
      </c>
      <c r="M25" s="49">
        <f t="shared" si="5"/>
        <v>0.21185185185185182</v>
      </c>
      <c r="N25" s="49">
        <f t="shared" si="5"/>
        <v>0.33079166666666665</v>
      </c>
      <c r="O25" s="33">
        <f t="shared" si="5"/>
        <v>0.16880486111111112</v>
      </c>
      <c r="P25" s="49">
        <f t="shared" si="5"/>
        <v>0.4177263888888888</v>
      </c>
      <c r="Q25" s="49">
        <f t="shared" si="5"/>
        <v>0.39452380952380955</v>
      </c>
      <c r="R25" s="49">
        <f t="shared" si="5"/>
        <v>0.80999999999999994</v>
      </c>
      <c r="S25" s="49">
        <f t="shared" si="5"/>
        <v>0.420375</v>
      </c>
      <c r="T25" s="33">
        <f t="shared" si="5"/>
        <v>0.47299074074074071</v>
      </c>
      <c r="U25" s="73"/>
      <c r="V25" s="72"/>
      <c r="W25" s="72"/>
      <c r="X25" s="72"/>
    </row>
    <row r="26" spans="1:24" s="71" customFormat="1" ht="11.25" hidden="1" customHeight="1" x14ac:dyDescent="0.2">
      <c r="A26" s="92"/>
      <c r="B26" s="93"/>
      <c r="C26" s="93"/>
      <c r="D26" s="93"/>
      <c r="E26" s="87">
        <f>90-E24</f>
        <v>0</v>
      </c>
      <c r="F26" s="84"/>
      <c r="G26" s="84"/>
      <c r="H26" s="84"/>
      <c r="I26" s="84"/>
      <c r="J26" s="84"/>
      <c r="K26" s="84"/>
      <c r="L26" s="84"/>
      <c r="M26" s="84"/>
      <c r="N26" s="84"/>
      <c r="O26" s="85"/>
      <c r="P26" s="84"/>
      <c r="Q26" s="84"/>
      <c r="R26" s="84"/>
      <c r="S26" s="84"/>
      <c r="T26" s="86"/>
      <c r="U26" s="73"/>
      <c r="V26" s="72"/>
      <c r="W26" s="72"/>
      <c r="X26" s="72"/>
    </row>
    <row r="27" spans="1:24" s="71" customFormat="1" ht="11.25" customHeight="1" x14ac:dyDescent="0.2">
      <c r="A27" s="112" t="s">
        <v>23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4"/>
      <c r="U27" s="8"/>
      <c r="V27" s="19"/>
      <c r="W27" s="19"/>
      <c r="X27" s="19"/>
    </row>
    <row r="28" spans="1:24" s="65" customFormat="1" ht="11.25" customHeight="1" x14ac:dyDescent="0.2">
      <c r="A28" s="69">
        <v>406</v>
      </c>
      <c r="B28" s="141" t="s">
        <v>50</v>
      </c>
      <c r="C28" s="141"/>
      <c r="D28" s="67">
        <v>60</v>
      </c>
      <c r="E28" s="66">
        <v>26.39</v>
      </c>
      <c r="F28" s="66">
        <v>11</v>
      </c>
      <c r="G28" s="103">
        <v>9.5</v>
      </c>
      <c r="H28" s="103">
        <v>31.5</v>
      </c>
      <c r="I28" s="66">
        <f>F28*4+G28*9+H28*4</f>
        <v>255.5</v>
      </c>
      <c r="J28" s="66">
        <v>0.1</v>
      </c>
      <c r="K28" s="66">
        <v>0.3</v>
      </c>
      <c r="L28" s="66">
        <v>0.6</v>
      </c>
      <c r="M28" s="66">
        <v>0.13</v>
      </c>
      <c r="N28" s="66">
        <v>1.8</v>
      </c>
      <c r="O28" s="66">
        <v>18.600000000000001</v>
      </c>
      <c r="P28" s="66">
        <v>113.8</v>
      </c>
      <c r="Q28" s="66">
        <v>1.63</v>
      </c>
      <c r="R28" s="66">
        <v>0.01</v>
      </c>
      <c r="S28" s="66">
        <v>17.399999999999999</v>
      </c>
      <c r="T28" s="66">
        <v>0.6</v>
      </c>
    </row>
    <row r="29" spans="1:24" s="65" customFormat="1" ht="12.75" customHeight="1" x14ac:dyDescent="0.2">
      <c r="A29" s="104">
        <v>377</v>
      </c>
      <c r="B29" s="108" t="s">
        <v>27</v>
      </c>
      <c r="C29" s="108"/>
      <c r="D29" s="105">
        <v>200</v>
      </c>
      <c r="E29" s="70">
        <v>3.61</v>
      </c>
      <c r="F29" s="64">
        <v>0.26</v>
      </c>
      <c r="G29" s="64">
        <v>0.06</v>
      </c>
      <c r="H29" s="64">
        <v>15.22</v>
      </c>
      <c r="I29" s="64">
        <v>62.46</v>
      </c>
      <c r="J29" s="64">
        <v>0</v>
      </c>
      <c r="K29" s="64">
        <v>0.01</v>
      </c>
      <c r="L29" s="64">
        <v>2.9</v>
      </c>
      <c r="M29" s="64">
        <v>0</v>
      </c>
      <c r="N29" s="64">
        <v>0.06</v>
      </c>
      <c r="O29" s="64">
        <v>8.0500000000000007</v>
      </c>
      <c r="P29" s="64">
        <v>9.7799999999999994</v>
      </c>
      <c r="Q29" s="64">
        <v>1.7000000000000001E-2</v>
      </c>
      <c r="R29" s="64">
        <v>0</v>
      </c>
      <c r="S29" s="64">
        <v>5.24</v>
      </c>
      <c r="T29" s="64">
        <v>0.87</v>
      </c>
    </row>
    <row r="30" spans="1:24" s="1" customFormat="1" ht="11.25" customHeight="1" x14ac:dyDescent="0.2">
      <c r="A30" s="42" t="s">
        <v>24</v>
      </c>
      <c r="B30" s="43"/>
      <c r="C30" s="43"/>
      <c r="D30" s="46">
        <f t="shared" ref="D30:I30" si="6">SUM(D28:D29)</f>
        <v>260</v>
      </c>
      <c r="E30" s="83">
        <f t="shared" si="6"/>
        <v>30</v>
      </c>
      <c r="F30" s="29">
        <f t="shared" si="6"/>
        <v>11.26</v>
      </c>
      <c r="G30" s="28">
        <f t="shared" si="6"/>
        <v>9.56</v>
      </c>
      <c r="H30" s="28">
        <f t="shared" si="6"/>
        <v>46.72</v>
      </c>
      <c r="I30" s="28">
        <f t="shared" si="6"/>
        <v>317.95999999999998</v>
      </c>
      <c r="J30" s="29">
        <f t="shared" ref="J30:T30" si="7">SUM(J28:J29)</f>
        <v>0.1</v>
      </c>
      <c r="K30" s="29">
        <f t="shared" si="7"/>
        <v>0.31</v>
      </c>
      <c r="L30" s="28">
        <f t="shared" si="7"/>
        <v>3.5</v>
      </c>
      <c r="M30" s="29">
        <f t="shared" si="7"/>
        <v>0.13</v>
      </c>
      <c r="N30" s="28">
        <f t="shared" si="7"/>
        <v>1.86</v>
      </c>
      <c r="O30" s="28">
        <f t="shared" si="7"/>
        <v>26.650000000000002</v>
      </c>
      <c r="P30" s="28">
        <f t="shared" si="7"/>
        <v>123.58</v>
      </c>
      <c r="Q30" s="28">
        <f t="shared" si="7"/>
        <v>1.6469999999999998</v>
      </c>
      <c r="R30" s="30">
        <f t="shared" si="7"/>
        <v>0.01</v>
      </c>
      <c r="S30" s="28">
        <f t="shared" si="7"/>
        <v>22.64</v>
      </c>
      <c r="T30" s="29">
        <f t="shared" si="7"/>
        <v>1.47</v>
      </c>
      <c r="U30" s="28"/>
      <c r="V30" s="72"/>
      <c r="W30" s="72"/>
      <c r="X30" s="72"/>
    </row>
    <row r="31" spans="1:24" s="1" customFormat="1" ht="11.25" customHeight="1" x14ac:dyDescent="0.2">
      <c r="A31" s="109" t="s">
        <v>37</v>
      </c>
      <c r="B31" s="110"/>
      <c r="C31" s="110"/>
      <c r="D31" s="111"/>
      <c r="E31" s="94"/>
      <c r="F31" s="49">
        <f>F30/F33</f>
        <v>0.12511111111111112</v>
      </c>
      <c r="G31" s="49">
        <f t="shared" ref="G31:T31" si="8">G30/G33</f>
        <v>0.10391304347826087</v>
      </c>
      <c r="H31" s="49">
        <f t="shared" si="8"/>
        <v>0.12198433420365536</v>
      </c>
      <c r="I31" s="49">
        <f t="shared" si="8"/>
        <v>0.11689705882352941</v>
      </c>
      <c r="J31" s="49">
        <f t="shared" si="8"/>
        <v>7.1428571428571438E-2</v>
      </c>
      <c r="K31" s="49">
        <f t="shared" si="8"/>
        <v>0.19374999999999998</v>
      </c>
      <c r="L31" s="49">
        <f t="shared" si="8"/>
        <v>0.05</v>
      </c>
      <c r="M31" s="49">
        <f t="shared" si="8"/>
        <v>0.14444444444444446</v>
      </c>
      <c r="N31" s="49">
        <f t="shared" si="8"/>
        <v>0.155</v>
      </c>
      <c r="O31" s="49">
        <f t="shared" si="8"/>
        <v>2.2208333333333333E-2</v>
      </c>
      <c r="P31" s="49">
        <f t="shared" si="8"/>
        <v>0.10298333333333333</v>
      </c>
      <c r="Q31" s="49">
        <f t="shared" si="8"/>
        <v>0.11764285714285713</v>
      </c>
      <c r="R31" s="49">
        <f t="shared" si="8"/>
        <v>9.9999999999999992E-2</v>
      </c>
      <c r="S31" s="49">
        <f t="shared" si="8"/>
        <v>7.5466666666666668E-2</v>
      </c>
      <c r="T31" s="33">
        <f t="shared" si="8"/>
        <v>8.1666666666666665E-2</v>
      </c>
      <c r="U31" s="73"/>
      <c r="V31" s="72"/>
      <c r="W31" s="72"/>
      <c r="X31" s="72"/>
    </row>
    <row r="32" spans="1:24" s="1" customFormat="1" ht="11.25" customHeight="1" x14ac:dyDescent="0.2">
      <c r="A32" s="137" t="s">
        <v>36</v>
      </c>
      <c r="B32" s="138"/>
      <c r="C32" s="138"/>
      <c r="D32" s="139"/>
      <c r="E32" s="88"/>
      <c r="F32" s="29">
        <f t="shared" ref="F32:T32" si="9">SUM(F13,F24,F30)</f>
        <v>64.526666666666671</v>
      </c>
      <c r="G32" s="28">
        <f t="shared" si="9"/>
        <v>69.052499999999995</v>
      </c>
      <c r="H32" s="28">
        <f t="shared" si="9"/>
        <v>238.18250000000003</v>
      </c>
      <c r="I32" s="28">
        <f t="shared" si="9"/>
        <v>1832.3691666666668</v>
      </c>
      <c r="J32" s="29">
        <f t="shared" si="9"/>
        <v>0.92099999999999993</v>
      </c>
      <c r="K32" s="29">
        <f t="shared" si="9"/>
        <v>1.081</v>
      </c>
      <c r="L32" s="35">
        <f t="shared" si="9"/>
        <v>46.385833333333331</v>
      </c>
      <c r="M32" s="29">
        <f t="shared" si="9"/>
        <v>0.58166666666666667</v>
      </c>
      <c r="N32" s="35">
        <f t="shared" si="9"/>
        <v>8.552833333333334</v>
      </c>
      <c r="O32" s="28">
        <f t="shared" si="9"/>
        <v>604.26916666666671</v>
      </c>
      <c r="P32" s="28">
        <f t="shared" si="9"/>
        <v>1271.6849999999999</v>
      </c>
      <c r="Q32" s="28">
        <f t="shared" si="9"/>
        <v>9.5410000000000004</v>
      </c>
      <c r="R32" s="30">
        <f t="shared" si="9"/>
        <v>0.11533333333333333</v>
      </c>
      <c r="S32" s="29">
        <f t="shared" si="9"/>
        <v>273.09549999999996</v>
      </c>
      <c r="T32" s="29">
        <f t="shared" si="9"/>
        <v>13.320166666666667</v>
      </c>
      <c r="U32" s="31"/>
      <c r="V32" s="72"/>
      <c r="W32" s="72"/>
      <c r="X32" s="72"/>
    </row>
    <row r="33" spans="1:24" s="1" customFormat="1" ht="11.25" customHeight="1" x14ac:dyDescent="0.2">
      <c r="A33" s="137" t="s">
        <v>38</v>
      </c>
      <c r="B33" s="138"/>
      <c r="C33" s="138"/>
      <c r="D33" s="139"/>
      <c r="E33" s="88"/>
      <c r="F33" s="77">
        <v>90</v>
      </c>
      <c r="G33" s="75">
        <v>92</v>
      </c>
      <c r="H33" s="75">
        <v>383</v>
      </c>
      <c r="I33" s="75">
        <v>2720</v>
      </c>
      <c r="J33" s="77">
        <v>1.4</v>
      </c>
      <c r="K33" s="77">
        <v>1.6</v>
      </c>
      <c r="L33" s="76">
        <v>70</v>
      </c>
      <c r="M33" s="77">
        <v>0.9</v>
      </c>
      <c r="N33" s="76">
        <v>12</v>
      </c>
      <c r="O33" s="76">
        <v>1200</v>
      </c>
      <c r="P33" s="76">
        <v>1200</v>
      </c>
      <c r="Q33" s="76">
        <v>14</v>
      </c>
      <c r="R33" s="75">
        <v>0.1</v>
      </c>
      <c r="S33" s="76">
        <v>300</v>
      </c>
      <c r="T33" s="77">
        <v>18</v>
      </c>
      <c r="U33" s="79"/>
      <c r="V33" s="80"/>
      <c r="W33" s="80"/>
      <c r="X33" s="80"/>
    </row>
    <row r="34" spans="1:24" s="5" customFormat="1" ht="11.25" customHeight="1" x14ac:dyDescent="0.2">
      <c r="A34" s="109" t="s">
        <v>37</v>
      </c>
      <c r="B34" s="110"/>
      <c r="C34" s="110"/>
      <c r="D34" s="111"/>
      <c r="E34" s="94"/>
      <c r="F34" s="49">
        <f t="shared" ref="F34:T34" si="10">F32/F33</f>
        <v>0.71696296296296302</v>
      </c>
      <c r="G34" s="33">
        <f t="shared" si="10"/>
        <v>0.75057065217391294</v>
      </c>
      <c r="H34" s="33">
        <f t="shared" si="10"/>
        <v>0.62188642297650143</v>
      </c>
      <c r="I34" s="33">
        <f t="shared" si="10"/>
        <v>0.67366513480392165</v>
      </c>
      <c r="J34" s="33">
        <f t="shared" si="10"/>
        <v>0.65785714285714281</v>
      </c>
      <c r="K34" s="33">
        <f t="shared" si="10"/>
        <v>0.67562499999999992</v>
      </c>
      <c r="L34" s="33">
        <f t="shared" si="10"/>
        <v>0.66265476190476191</v>
      </c>
      <c r="M34" s="34">
        <f t="shared" si="10"/>
        <v>0.64629629629629626</v>
      </c>
      <c r="N34" s="33">
        <f t="shared" si="10"/>
        <v>0.71273611111111113</v>
      </c>
      <c r="O34" s="33">
        <f t="shared" si="10"/>
        <v>0.50355763888888894</v>
      </c>
      <c r="P34" s="33">
        <f t="shared" si="10"/>
        <v>1.0597375</v>
      </c>
      <c r="Q34" s="33">
        <f t="shared" si="10"/>
        <v>0.68149999999999999</v>
      </c>
      <c r="R34" s="34">
        <f t="shared" si="10"/>
        <v>1.1533333333333333</v>
      </c>
      <c r="S34" s="33">
        <f t="shared" si="10"/>
        <v>0.91031833333333323</v>
      </c>
      <c r="T34" s="34">
        <f t="shared" si="10"/>
        <v>0.74000925925925931</v>
      </c>
      <c r="U34" s="36"/>
      <c r="V34" s="37"/>
      <c r="W34" s="37"/>
      <c r="X34" s="37"/>
    </row>
    <row r="35" spans="1:24" s="1" customFormat="1" ht="11.25" customHeight="1" x14ac:dyDescent="0.2">
      <c r="A35" s="39"/>
      <c r="B35" s="39"/>
      <c r="C35" s="62"/>
      <c r="D35" s="62"/>
      <c r="E35" s="63"/>
      <c r="F35" s="60"/>
      <c r="G35" s="48"/>
      <c r="H35" s="2"/>
      <c r="I35" s="2"/>
      <c r="J35" s="48"/>
      <c r="K35" s="48"/>
      <c r="L35" s="48"/>
      <c r="M35" s="142" t="s">
        <v>39</v>
      </c>
      <c r="N35" s="142"/>
      <c r="O35" s="142"/>
      <c r="P35" s="142"/>
      <c r="Q35" s="142"/>
      <c r="R35" s="142"/>
      <c r="S35" s="142"/>
      <c r="T35" s="142"/>
      <c r="U35" s="9"/>
      <c r="V35" s="14"/>
      <c r="W35" s="14"/>
      <c r="X35" s="14"/>
    </row>
  </sheetData>
  <mergeCells count="40">
    <mergeCell ref="B18:C18"/>
    <mergeCell ref="B17:C17"/>
    <mergeCell ref="B23:C23"/>
    <mergeCell ref="L4:M4"/>
    <mergeCell ref="I5:I6"/>
    <mergeCell ref="B16:C16"/>
    <mergeCell ref="A2:T2"/>
    <mergeCell ref="A5:A6"/>
    <mergeCell ref="B10:C10"/>
    <mergeCell ref="B29:C29"/>
    <mergeCell ref="B19:C19"/>
    <mergeCell ref="B11:C11"/>
    <mergeCell ref="B20:C20"/>
    <mergeCell ref="A27:T27"/>
    <mergeCell ref="B7:C7"/>
    <mergeCell ref="B5:C6"/>
    <mergeCell ref="M35:T35"/>
    <mergeCell ref="A25:D25"/>
    <mergeCell ref="B22:C22"/>
    <mergeCell ref="A31:D31"/>
    <mergeCell ref="O5:T5"/>
    <mergeCell ref="A34:D34"/>
    <mergeCell ref="D5:D6"/>
    <mergeCell ref="B21:C21"/>
    <mergeCell ref="M1:T1"/>
    <mergeCell ref="G3:I3"/>
    <mergeCell ref="A15:T15"/>
    <mergeCell ref="B12:C12"/>
    <mergeCell ref="A14:D14"/>
    <mergeCell ref="B9:C9"/>
    <mergeCell ref="J5:N5"/>
    <mergeCell ref="F5:H5"/>
    <mergeCell ref="A8:T8"/>
    <mergeCell ref="D4:F4"/>
    <mergeCell ref="L3:M3"/>
    <mergeCell ref="N4:T4"/>
    <mergeCell ref="B28:C28"/>
    <mergeCell ref="A32:D32"/>
    <mergeCell ref="A33:D33"/>
    <mergeCell ref="N3:Q3"/>
  </mergeCells>
  <pageMargins left="0.7" right="0.7" top="0.75" bottom="0.75" header="0.3" footer="0.3"/>
  <pageSetup paperSize="9" scale="79" orientation="landscape" r:id="rId1"/>
  <rowBreaks count="1" manualBreakCount="1">
    <brk id="3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zav_karam_nijn</dc:creator>
  <cp:lastModifiedBy>programmist</cp:lastModifiedBy>
  <cp:revision>1</cp:revision>
  <cp:lastPrinted>2023-08-22T13:00:56Z</cp:lastPrinted>
  <dcterms:created xsi:type="dcterms:W3CDTF">2017-06-07T09:01:22Z</dcterms:created>
  <dcterms:modified xsi:type="dcterms:W3CDTF">2023-09-13T11:33:00Z</dcterms:modified>
</cp:coreProperties>
</file>